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117"/>
  <workbookPr showInkAnnotation="0" codeName="ThisWorkbook" checkCompatibility="1" autoCompressPictures="0"/>
  <bookViews>
    <workbookView xWindow="540" yWindow="0" windowWidth="28720" windowHeight="17560" tabRatio="792" activeTab="6"/>
  </bookViews>
  <sheets>
    <sheet name="Dashboard" sheetId="7" r:id="rId1"/>
    <sheet name="Income" sheetId="6" r:id="rId2"/>
    <sheet name="Expenses" sheetId="3" r:id="rId3"/>
    <sheet name="Inventory" sheetId="11" r:id="rId4"/>
    <sheet name="Designs" sheetId="13" r:id="rId5"/>
    <sheet name="Relations" sheetId="12" r:id="rId6"/>
    <sheet name="Recruiting" sheetId="14" r:id="rId7"/>
    <sheet name="Outside Property" sheetId="15" r:id="rId8"/>
    <sheet name="Culture Convert" sheetId="10" r:id="rId9"/>
    <sheet name="Constants" sheetId="5" r:id="rId10"/>
    <sheet name="Notes" sheetId="4" r:id="rId11"/>
    <sheet name="P&amp;P Data" sheetId="9" r:id="rId12"/>
  </sheets>
  <externalReferences>
    <externalReference r:id="rId13"/>
  </externalReferences>
  <definedNames>
    <definedName name="ADMIN_SKILL_EFFECT">Expenses!$AD$23:$AE$24</definedName>
    <definedName name="ARCHER_PAY">Expenses!$D$4</definedName>
    <definedName name="ARCHERS">Expenses!$J$1</definedName>
    <definedName name="CAVALRY">Expenses!$I$1</definedName>
    <definedName name="CAVALRY_PAY">Expenses!$D$5</definedName>
    <definedName name="CHILD_MARGIN">Dashboard!$B$3</definedName>
    <definedName name="CIVILIANS">Dashboard!$A$3</definedName>
    <definedName name="COMPANY">1.25</definedName>
    <definedName name="CROPHEXES">Constants!$A$4</definedName>
    <definedName name="CROPLAND_HEX">Income!$L$2</definedName>
    <definedName name="DEPLOYED">Dashboard!$I$15</definedName>
    <definedName name="DWARF_METAL">Constants!$A$17</definedName>
    <definedName name="DWARF_STONE">Constants!$A$16</definedName>
    <definedName name="FARM_MARGIN">Constants!$A$7</definedName>
    <definedName name="FARM_QUALITY">Dashboard!$L$4</definedName>
    <definedName name="FARMER_PAY">Income!$E$5</definedName>
    <definedName name="FARMLAND">Constants!$A$8</definedName>
    <definedName name="FOOD">[1]Info!$F$3</definedName>
    <definedName name="FOOD_PROD" localSheetId="8">'Culture Convert'!$H$10</definedName>
    <definedName name="FOOD_PROD">#REF!</definedName>
    <definedName name="FOOTMEN">Expenses!$H$1</definedName>
    <definedName name="FOREST_HEX">Income!$N$2</definedName>
    <definedName name="FORESTER_WOOD_TONS">Constants!$A$12</definedName>
    <definedName name="FREE_LABOR">Income!$B$30</definedName>
    <definedName name="GNI">Income!$F$2</definedName>
    <definedName name="GOVPOP">Expenses!$A$1</definedName>
    <definedName name="HERD_INCREASE">Constants!$A$20</definedName>
    <definedName name="HORSE_HERD">Constants!$A$19</definedName>
    <definedName name="HORSES">Income!$J$2</definedName>
    <definedName name="HUNT_MARGIN">Constants!$A$9</definedName>
    <definedName name="HUNTER_PAY">Income!$E$6</definedName>
    <definedName name="HUNTLAND">Constants!$A$10</definedName>
    <definedName name="MILPOP">Dashboard!$F$17</definedName>
    <definedName name="MINE_QUALITY">Dashboard!$N$4</definedName>
    <definedName name="MINING_VALUE">Constants!$A$14</definedName>
    <definedName name="NONGOVPOP">Dashboard!$C$4</definedName>
    <definedName name="OTHER">Income!$A$16</definedName>
    <definedName name="OWNER">Income!$P$2</definedName>
    <definedName name="PAY">[1]Info!$F$6</definedName>
    <definedName name="POP_STATE">Recruiting!$AD$2:$AG$5</definedName>
    <definedName name="QUARRY_TONS">Constants!$A$15</definedName>
    <definedName name="RATIO">Income!$A$23</definedName>
    <definedName name="RATIO1">Income!$A$22</definedName>
    <definedName name="RATIO2">Income!$A$21</definedName>
    <definedName name="RATIO3">Income!$A$20</definedName>
    <definedName name="RATIO4">Income!$A$19</definedName>
    <definedName name="RESOURCES">Income!$A$7</definedName>
    <definedName name="SCALED_INCOME">Income!$A$24</definedName>
    <definedName name="SCALED_INCOME2">Income!$A$25</definedName>
    <definedName name="SLAVES">Dashboard!$A$6</definedName>
    <definedName name="SMELTING_FUEL">Constants!$A$25</definedName>
    <definedName name="SMELTING_WOOD" localSheetId="8">Constants!#REF!</definedName>
    <definedName name="SMELTING_WOOD">Constants!#REF!</definedName>
    <definedName name="STATE">Recruiting!$AJ$10:$AK$14</definedName>
    <definedName name="STATION1">Income!$E$22</definedName>
    <definedName name="STATION2">Income!$E$21</definedName>
    <definedName name="STATION3">Income!$E$20</definedName>
    <definedName name="STATION4">Income!$E$19</definedName>
    <definedName name="STONE">Income!$I$2</definedName>
    <definedName name="STONE_BLOCK">Constants!$A$23</definedName>
    <definedName name="STONE_PER_BLOCK">Constants!$A$23</definedName>
    <definedName name="SUPPORT">Income!$G$2</definedName>
    <definedName name="SUPPORT_COST">Constants!$A$3</definedName>
    <definedName name="TAXRATE">Dashboard!$A$14</definedName>
    <definedName name="THROTTLE" localSheetId="8">#REF!</definedName>
    <definedName name="THROTTLE">#REF!</definedName>
    <definedName name="TON">2000</definedName>
    <definedName name="TOTALPOP">Dashboard!$A$9</definedName>
    <definedName name="USES">-1</definedName>
    <definedName name="WARRIOR_PAY">Expenses!$D$6</definedName>
    <definedName name="WILDHEXES">Constants!$A$5</definedName>
    <definedName name="WILDS_HEX">Income!$M$2</definedName>
    <definedName name="WOOD">Income!$H$2</definedName>
    <definedName name="WOOD_PER_BLOCK">Constants!$A$22</definedName>
    <definedName name="YEARGOLD">Constants!$A$1</definedName>
    <definedName name="YEARGOLD_HIRE">Constants!$A$2</definedName>
    <definedName name="YIELD">Recruiting!$AI$2:$AJ$7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11" i="6" l="1"/>
  <c r="I7" i="7"/>
  <c r="L16" i="7"/>
  <c r="F13" i="3"/>
  <c r="F5" i="3"/>
  <c r="H7" i="7"/>
  <c r="L18" i="7"/>
  <c r="R14" i="9"/>
  <c r="R13" i="9"/>
  <c r="R12" i="9"/>
  <c r="R11" i="9"/>
  <c r="R10" i="9"/>
  <c r="R9" i="9"/>
  <c r="R8" i="9"/>
  <c r="R7" i="9"/>
  <c r="R6" i="9"/>
  <c r="S14" i="9"/>
  <c r="S13" i="9"/>
  <c r="S12" i="9"/>
  <c r="S11" i="9"/>
  <c r="S10" i="9"/>
  <c r="S9" i="9"/>
  <c r="S8" i="9"/>
  <c r="S7" i="9"/>
  <c r="S6" i="9"/>
  <c r="R5" i="9"/>
  <c r="S5" i="9"/>
  <c r="L3" i="9"/>
  <c r="E3" i="9"/>
  <c r="F1" i="3"/>
  <c r="F3" i="7"/>
  <c r="D3" i="9"/>
  <c r="F11" i="6"/>
  <c r="F2" i="6"/>
  <c r="C3" i="9"/>
  <c r="O40" i="14"/>
  <c r="O39" i="14"/>
  <c r="O38" i="14"/>
  <c r="O37" i="14"/>
  <c r="O36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1" i="14"/>
  <c r="O10" i="14"/>
  <c r="O9" i="14"/>
  <c r="O8" i="14"/>
  <c r="O7" i="14"/>
  <c r="O6" i="14"/>
  <c r="O5" i="14"/>
  <c r="O4" i="14"/>
  <c r="O12" i="14"/>
  <c r="P40" i="14"/>
  <c r="P39" i="14"/>
  <c r="P38" i="14"/>
  <c r="P37" i="14"/>
  <c r="P36" i="14"/>
  <c r="P35" i="14"/>
  <c r="P34" i="14"/>
  <c r="P33" i="14"/>
  <c r="P32" i="14"/>
  <c r="P31" i="14"/>
  <c r="P30" i="14"/>
  <c r="P29" i="14"/>
  <c r="P28" i="14"/>
  <c r="P27" i="14"/>
  <c r="P26" i="14"/>
  <c r="P25" i="14"/>
  <c r="P24" i="14"/>
  <c r="P23" i="14"/>
  <c r="P22" i="14"/>
  <c r="P21" i="14"/>
  <c r="P20" i="14"/>
  <c r="P19" i="14"/>
  <c r="P18" i="14"/>
  <c r="P17" i="14"/>
  <c r="P16" i="14"/>
  <c r="P15" i="14"/>
  <c r="P14" i="14"/>
  <c r="P13" i="14"/>
  <c r="P12" i="14"/>
  <c r="P11" i="14"/>
  <c r="P10" i="14"/>
  <c r="P9" i="14"/>
  <c r="P8" i="14"/>
  <c r="P7" i="14"/>
  <c r="P6" i="14"/>
  <c r="P5" i="14"/>
  <c r="P4" i="14"/>
  <c r="M4" i="14"/>
  <c r="N4" i="14"/>
  <c r="M40" i="14"/>
  <c r="N40" i="14"/>
  <c r="M39" i="14"/>
  <c r="N39" i="14"/>
  <c r="M38" i="14"/>
  <c r="N38" i="14"/>
  <c r="M37" i="14"/>
  <c r="N37" i="14"/>
  <c r="M36" i="14"/>
  <c r="N36" i="14"/>
  <c r="M35" i="14"/>
  <c r="N35" i="14"/>
  <c r="M34" i="14"/>
  <c r="N34" i="14"/>
  <c r="M33" i="14"/>
  <c r="N33" i="14"/>
  <c r="M32" i="14"/>
  <c r="N32" i="14"/>
  <c r="M31" i="14"/>
  <c r="N31" i="14"/>
  <c r="M30" i="14"/>
  <c r="N30" i="14"/>
  <c r="M29" i="14"/>
  <c r="N29" i="14"/>
  <c r="M28" i="14"/>
  <c r="N28" i="14"/>
  <c r="M27" i="14"/>
  <c r="N27" i="14"/>
  <c r="M26" i="14"/>
  <c r="N26" i="14"/>
  <c r="M25" i="14"/>
  <c r="N25" i="14"/>
  <c r="M24" i="14"/>
  <c r="N24" i="14"/>
  <c r="M23" i="14"/>
  <c r="N23" i="14"/>
  <c r="M22" i="14"/>
  <c r="N22" i="14"/>
  <c r="M21" i="14"/>
  <c r="N21" i="14"/>
  <c r="M20" i="14"/>
  <c r="N20" i="14"/>
  <c r="M19" i="14"/>
  <c r="N19" i="14"/>
  <c r="M18" i="14"/>
  <c r="N18" i="14"/>
  <c r="M17" i="14"/>
  <c r="N17" i="14"/>
  <c r="M16" i="14"/>
  <c r="N16" i="14"/>
  <c r="M15" i="14"/>
  <c r="N15" i="14"/>
  <c r="M14" i="14"/>
  <c r="N14" i="14"/>
  <c r="M13" i="14"/>
  <c r="N13" i="14"/>
  <c r="M12" i="14"/>
  <c r="N12" i="14"/>
  <c r="M11" i="14"/>
  <c r="N11" i="14"/>
  <c r="M10" i="14"/>
  <c r="N10" i="14"/>
  <c r="M9" i="14"/>
  <c r="N9" i="14"/>
  <c r="M8" i="14"/>
  <c r="N8" i="14"/>
  <c r="M7" i="14"/>
  <c r="N7" i="14"/>
  <c r="M6" i="14"/>
  <c r="N6" i="14"/>
  <c r="M5" i="14"/>
  <c r="N5" i="14"/>
  <c r="K4" i="14"/>
  <c r="L4" i="14"/>
  <c r="K40" i="14"/>
  <c r="L40" i="14"/>
  <c r="K39" i="14"/>
  <c r="L39" i="14"/>
  <c r="K38" i="14"/>
  <c r="L38" i="14"/>
  <c r="K37" i="14"/>
  <c r="L37" i="14"/>
  <c r="K36" i="14"/>
  <c r="L36" i="14"/>
  <c r="K35" i="14"/>
  <c r="L35" i="14"/>
  <c r="K34" i="14"/>
  <c r="L34" i="14"/>
  <c r="K33" i="14"/>
  <c r="L33" i="14"/>
  <c r="K32" i="14"/>
  <c r="L32" i="14"/>
  <c r="K31" i="14"/>
  <c r="L31" i="14"/>
  <c r="K30" i="14"/>
  <c r="L30" i="14"/>
  <c r="K29" i="14"/>
  <c r="L29" i="14"/>
  <c r="K28" i="14"/>
  <c r="L28" i="14"/>
  <c r="K27" i="14"/>
  <c r="L27" i="14"/>
  <c r="K26" i="14"/>
  <c r="L26" i="14"/>
  <c r="K25" i="14"/>
  <c r="L25" i="14"/>
  <c r="K24" i="14"/>
  <c r="L24" i="14"/>
  <c r="K23" i="14"/>
  <c r="L23" i="14"/>
  <c r="K22" i="14"/>
  <c r="L22" i="14"/>
  <c r="K21" i="14"/>
  <c r="L21" i="14"/>
  <c r="K20" i="14"/>
  <c r="L20" i="14"/>
  <c r="K19" i="14"/>
  <c r="L19" i="14"/>
  <c r="K18" i="14"/>
  <c r="L18" i="14"/>
  <c r="K17" i="14"/>
  <c r="L17" i="14"/>
  <c r="K16" i="14"/>
  <c r="L16" i="14"/>
  <c r="K15" i="14"/>
  <c r="L15" i="14"/>
  <c r="K14" i="14"/>
  <c r="L14" i="14"/>
  <c r="K13" i="14"/>
  <c r="L13" i="14"/>
  <c r="K12" i="14"/>
  <c r="L12" i="14"/>
  <c r="K11" i="14"/>
  <c r="L11" i="14"/>
  <c r="K10" i="14"/>
  <c r="L10" i="14"/>
  <c r="K9" i="14"/>
  <c r="L9" i="14"/>
  <c r="K8" i="14"/>
  <c r="L8" i="14"/>
  <c r="K7" i="14"/>
  <c r="L7" i="14"/>
  <c r="K6" i="14"/>
  <c r="L6" i="14"/>
  <c r="K5" i="14"/>
  <c r="L5" i="14"/>
  <c r="I40" i="14"/>
  <c r="J40" i="14"/>
  <c r="I39" i="14"/>
  <c r="J39" i="14"/>
  <c r="I38" i="14"/>
  <c r="J38" i="14"/>
  <c r="I37" i="14"/>
  <c r="J37" i="14"/>
  <c r="I36" i="14"/>
  <c r="J36" i="14"/>
  <c r="I35" i="14"/>
  <c r="J35" i="14"/>
  <c r="I34" i="14"/>
  <c r="J34" i="14"/>
  <c r="I33" i="14"/>
  <c r="J33" i="14"/>
  <c r="I32" i="14"/>
  <c r="J32" i="14"/>
  <c r="I31" i="14"/>
  <c r="J31" i="14"/>
  <c r="I30" i="14"/>
  <c r="J30" i="14"/>
  <c r="I29" i="14"/>
  <c r="J29" i="14"/>
  <c r="I28" i="14"/>
  <c r="J28" i="14"/>
  <c r="I27" i="14"/>
  <c r="J27" i="14"/>
  <c r="I26" i="14"/>
  <c r="J26" i="14"/>
  <c r="I25" i="14"/>
  <c r="J25" i="14"/>
  <c r="I24" i="14"/>
  <c r="J24" i="14"/>
  <c r="I23" i="14"/>
  <c r="J23" i="14"/>
  <c r="I22" i="14"/>
  <c r="J22" i="14"/>
  <c r="I21" i="14"/>
  <c r="J21" i="14"/>
  <c r="I20" i="14"/>
  <c r="J20" i="14"/>
  <c r="I19" i="14"/>
  <c r="J19" i="14"/>
  <c r="I18" i="14"/>
  <c r="J18" i="14"/>
  <c r="I17" i="14"/>
  <c r="J17" i="14"/>
  <c r="I16" i="14"/>
  <c r="J16" i="14"/>
  <c r="I15" i="14"/>
  <c r="J15" i="14"/>
  <c r="I14" i="14"/>
  <c r="J14" i="14"/>
  <c r="I13" i="14"/>
  <c r="J13" i="14"/>
  <c r="I12" i="14"/>
  <c r="J12" i="14"/>
  <c r="I11" i="14"/>
  <c r="J11" i="14"/>
  <c r="I10" i="14"/>
  <c r="J10" i="14"/>
  <c r="I9" i="14"/>
  <c r="J9" i="14"/>
  <c r="I8" i="14"/>
  <c r="J8" i="14"/>
  <c r="I7" i="14"/>
  <c r="J7" i="14"/>
  <c r="I6" i="14"/>
  <c r="J6" i="14"/>
  <c r="I5" i="14"/>
  <c r="J5" i="14"/>
  <c r="I4" i="14"/>
  <c r="J4" i="14"/>
  <c r="G40" i="14"/>
  <c r="H40" i="14"/>
  <c r="G39" i="14"/>
  <c r="H39" i="14"/>
  <c r="G38" i="14"/>
  <c r="H38" i="14"/>
  <c r="G37" i="14"/>
  <c r="H37" i="14"/>
  <c r="G36" i="14"/>
  <c r="H36" i="14"/>
  <c r="G35" i="14"/>
  <c r="H35" i="14"/>
  <c r="G34" i="14"/>
  <c r="H34" i="14"/>
  <c r="G33" i="14"/>
  <c r="H33" i="14"/>
  <c r="G32" i="14"/>
  <c r="H32" i="14"/>
  <c r="G31" i="14"/>
  <c r="H31" i="14"/>
  <c r="G30" i="14"/>
  <c r="H30" i="14"/>
  <c r="G29" i="14"/>
  <c r="H29" i="14"/>
  <c r="G28" i="14"/>
  <c r="H28" i="14"/>
  <c r="G27" i="14"/>
  <c r="H27" i="14"/>
  <c r="G26" i="14"/>
  <c r="H26" i="14"/>
  <c r="G25" i="14"/>
  <c r="H25" i="14"/>
  <c r="G24" i="14"/>
  <c r="H24" i="14"/>
  <c r="G23" i="14"/>
  <c r="H23" i="14"/>
  <c r="G22" i="14"/>
  <c r="H22" i="14"/>
  <c r="G21" i="14"/>
  <c r="H21" i="14"/>
  <c r="G20" i="14"/>
  <c r="H20" i="14"/>
  <c r="G19" i="14"/>
  <c r="H19" i="14"/>
  <c r="G18" i="14"/>
  <c r="H18" i="14"/>
  <c r="G17" i="14"/>
  <c r="H17" i="14"/>
  <c r="G16" i="14"/>
  <c r="H16" i="14"/>
  <c r="G15" i="14"/>
  <c r="H15" i="14"/>
  <c r="G14" i="14"/>
  <c r="H14" i="14"/>
  <c r="G13" i="14"/>
  <c r="H13" i="14"/>
  <c r="G12" i="14"/>
  <c r="H12" i="14"/>
  <c r="G11" i="14"/>
  <c r="H11" i="14"/>
  <c r="G10" i="14"/>
  <c r="H10" i="14"/>
  <c r="G9" i="14"/>
  <c r="H9" i="14"/>
  <c r="G8" i="14"/>
  <c r="H8" i="14"/>
  <c r="G7" i="14"/>
  <c r="H7" i="14"/>
  <c r="G6" i="14"/>
  <c r="H6" i="14"/>
  <c r="G5" i="14"/>
  <c r="H5" i="14"/>
  <c r="G4" i="14"/>
  <c r="H4" i="14"/>
  <c r="S40" i="14"/>
  <c r="S39" i="14"/>
  <c r="S38" i="14"/>
  <c r="S37" i="14"/>
  <c r="S36" i="14"/>
  <c r="S35" i="14"/>
  <c r="S34" i="14"/>
  <c r="S33" i="14"/>
  <c r="S32" i="14"/>
  <c r="S31" i="14"/>
  <c r="S30" i="14"/>
  <c r="S29" i="14"/>
  <c r="S28" i="14"/>
  <c r="S27" i="14"/>
  <c r="S26" i="14"/>
  <c r="S25" i="14"/>
  <c r="S24" i="14"/>
  <c r="S23" i="14"/>
  <c r="S22" i="14"/>
  <c r="S21" i="14"/>
  <c r="S14" i="14"/>
  <c r="S15" i="14"/>
  <c r="S9" i="14"/>
  <c r="S13" i="14"/>
  <c r="S12" i="14"/>
  <c r="S11" i="14"/>
  <c r="S10" i="14"/>
  <c r="S7" i="14"/>
  <c r="S8" i="14"/>
  <c r="S19" i="14"/>
  <c r="S18" i="14"/>
  <c r="S17" i="14"/>
  <c r="S16" i="14"/>
  <c r="S20" i="14"/>
  <c r="S4" i="14"/>
  <c r="S6" i="14"/>
  <c r="S5" i="14"/>
  <c r="U12" i="14"/>
  <c r="V12" i="14"/>
  <c r="W12" i="14"/>
  <c r="X12" i="14"/>
  <c r="Y12" i="14"/>
  <c r="Z12" i="14"/>
  <c r="AA12" i="14"/>
  <c r="U5" i="14"/>
  <c r="V5" i="14"/>
  <c r="W5" i="14"/>
  <c r="X5" i="14"/>
  <c r="Y5" i="14"/>
  <c r="Z5" i="14"/>
  <c r="AA5" i="14"/>
  <c r="U6" i="14"/>
  <c r="V6" i="14"/>
  <c r="W6" i="14"/>
  <c r="X6" i="14"/>
  <c r="Y6" i="14"/>
  <c r="Z6" i="14"/>
  <c r="AA6" i="14"/>
  <c r="U4" i="14"/>
  <c r="V4" i="14"/>
  <c r="W4" i="14"/>
  <c r="X4" i="14"/>
  <c r="Y4" i="14"/>
  <c r="Z4" i="14"/>
  <c r="AA4" i="14"/>
  <c r="U20" i="14"/>
  <c r="V20" i="14"/>
  <c r="W20" i="14"/>
  <c r="X20" i="14"/>
  <c r="Y20" i="14"/>
  <c r="Z20" i="14"/>
  <c r="AA20" i="14"/>
  <c r="U16" i="14"/>
  <c r="V16" i="14"/>
  <c r="W16" i="14"/>
  <c r="X16" i="14"/>
  <c r="Y16" i="14"/>
  <c r="Z16" i="14"/>
  <c r="AA16" i="14"/>
  <c r="U17" i="14"/>
  <c r="V17" i="14"/>
  <c r="W17" i="14"/>
  <c r="X17" i="14"/>
  <c r="Y17" i="14"/>
  <c r="Z17" i="14"/>
  <c r="AA17" i="14"/>
  <c r="U18" i="14"/>
  <c r="V18" i="14"/>
  <c r="W18" i="14"/>
  <c r="X18" i="14"/>
  <c r="Y18" i="14"/>
  <c r="Z18" i="14"/>
  <c r="AA18" i="14"/>
  <c r="U19" i="14"/>
  <c r="V19" i="14"/>
  <c r="W19" i="14"/>
  <c r="X19" i="14"/>
  <c r="Y19" i="14"/>
  <c r="Z19" i="14"/>
  <c r="AA19" i="14"/>
  <c r="U8" i="14"/>
  <c r="V8" i="14"/>
  <c r="W8" i="14"/>
  <c r="X8" i="14"/>
  <c r="Y8" i="14"/>
  <c r="Z8" i="14"/>
  <c r="AA8" i="14"/>
  <c r="U7" i="14"/>
  <c r="V7" i="14"/>
  <c r="W7" i="14"/>
  <c r="X7" i="14"/>
  <c r="Y7" i="14"/>
  <c r="Z7" i="14"/>
  <c r="AA7" i="14"/>
  <c r="U10" i="14"/>
  <c r="V10" i="14"/>
  <c r="W10" i="14"/>
  <c r="X10" i="14"/>
  <c r="Y10" i="14"/>
  <c r="Z10" i="14"/>
  <c r="AA10" i="14"/>
  <c r="U11" i="14"/>
  <c r="V11" i="14"/>
  <c r="W11" i="14"/>
  <c r="X11" i="14"/>
  <c r="Y11" i="14"/>
  <c r="Z11" i="14"/>
  <c r="AA11" i="14"/>
  <c r="U13" i="14"/>
  <c r="V13" i="14"/>
  <c r="W13" i="14"/>
  <c r="X13" i="14"/>
  <c r="Y13" i="14"/>
  <c r="Z13" i="14"/>
  <c r="AA13" i="14"/>
  <c r="U9" i="14"/>
  <c r="V9" i="14"/>
  <c r="W9" i="14"/>
  <c r="X9" i="14"/>
  <c r="Y9" i="14"/>
  <c r="Z9" i="14"/>
  <c r="AA9" i="14"/>
  <c r="U15" i="14"/>
  <c r="V15" i="14"/>
  <c r="W15" i="14"/>
  <c r="X15" i="14"/>
  <c r="Y15" i="14"/>
  <c r="Z15" i="14"/>
  <c r="AA15" i="14"/>
  <c r="U14" i="14"/>
  <c r="V14" i="14"/>
  <c r="W14" i="14"/>
  <c r="X14" i="14"/>
  <c r="Y14" i="14"/>
  <c r="Z14" i="14"/>
  <c r="AA14" i="14"/>
  <c r="U21" i="14"/>
  <c r="V21" i="14"/>
  <c r="W21" i="14"/>
  <c r="X21" i="14"/>
  <c r="Y21" i="14"/>
  <c r="Z21" i="14"/>
  <c r="AA21" i="14"/>
  <c r="U22" i="14"/>
  <c r="V22" i="14"/>
  <c r="W22" i="14"/>
  <c r="X22" i="14"/>
  <c r="Y22" i="14"/>
  <c r="Z22" i="14"/>
  <c r="AA22" i="14"/>
  <c r="U23" i="14"/>
  <c r="V23" i="14"/>
  <c r="W23" i="14"/>
  <c r="X23" i="14"/>
  <c r="Y23" i="14"/>
  <c r="Z23" i="14"/>
  <c r="AA23" i="14"/>
  <c r="U24" i="14"/>
  <c r="V24" i="14"/>
  <c r="W24" i="14"/>
  <c r="X24" i="14"/>
  <c r="Y24" i="14"/>
  <c r="Z24" i="14"/>
  <c r="AA24" i="14"/>
  <c r="U25" i="14"/>
  <c r="V25" i="14"/>
  <c r="W25" i="14"/>
  <c r="X25" i="14"/>
  <c r="Y25" i="14"/>
  <c r="Z25" i="14"/>
  <c r="AA25" i="14"/>
  <c r="U26" i="14"/>
  <c r="V26" i="14"/>
  <c r="W26" i="14"/>
  <c r="X26" i="14"/>
  <c r="Y26" i="14"/>
  <c r="Z26" i="14"/>
  <c r="AA26" i="14"/>
  <c r="U27" i="14"/>
  <c r="V27" i="14"/>
  <c r="W27" i="14"/>
  <c r="X27" i="14"/>
  <c r="Y27" i="14"/>
  <c r="Z27" i="14"/>
  <c r="AA27" i="14"/>
  <c r="U28" i="14"/>
  <c r="V28" i="14"/>
  <c r="W28" i="14"/>
  <c r="X28" i="14"/>
  <c r="Y28" i="14"/>
  <c r="Z28" i="14"/>
  <c r="AA28" i="14"/>
  <c r="U29" i="14"/>
  <c r="V29" i="14"/>
  <c r="W29" i="14"/>
  <c r="X29" i="14"/>
  <c r="Y29" i="14"/>
  <c r="Z29" i="14"/>
  <c r="AA29" i="14"/>
  <c r="U30" i="14"/>
  <c r="V30" i="14"/>
  <c r="W30" i="14"/>
  <c r="X30" i="14"/>
  <c r="Y30" i="14"/>
  <c r="Z30" i="14"/>
  <c r="AA30" i="14"/>
  <c r="U31" i="14"/>
  <c r="V31" i="14"/>
  <c r="W31" i="14"/>
  <c r="X31" i="14"/>
  <c r="Y31" i="14"/>
  <c r="Z31" i="14"/>
  <c r="AA31" i="14"/>
  <c r="U32" i="14"/>
  <c r="V32" i="14"/>
  <c r="W32" i="14"/>
  <c r="X32" i="14"/>
  <c r="Y32" i="14"/>
  <c r="Z32" i="14"/>
  <c r="AA32" i="14"/>
  <c r="U33" i="14"/>
  <c r="V33" i="14"/>
  <c r="W33" i="14"/>
  <c r="X33" i="14"/>
  <c r="Y33" i="14"/>
  <c r="Z33" i="14"/>
  <c r="AA33" i="14"/>
  <c r="U34" i="14"/>
  <c r="V34" i="14"/>
  <c r="W34" i="14"/>
  <c r="X34" i="14"/>
  <c r="Y34" i="14"/>
  <c r="Z34" i="14"/>
  <c r="AA34" i="14"/>
  <c r="U35" i="14"/>
  <c r="V35" i="14"/>
  <c r="W35" i="14"/>
  <c r="X35" i="14"/>
  <c r="Y35" i="14"/>
  <c r="Z35" i="14"/>
  <c r="AA35" i="14"/>
  <c r="U36" i="14"/>
  <c r="V36" i="14"/>
  <c r="W36" i="14"/>
  <c r="X36" i="14"/>
  <c r="Y36" i="14"/>
  <c r="Z36" i="14"/>
  <c r="AA36" i="14"/>
  <c r="U37" i="14"/>
  <c r="V37" i="14"/>
  <c r="W37" i="14"/>
  <c r="X37" i="14"/>
  <c r="Y37" i="14"/>
  <c r="Z37" i="14"/>
  <c r="AA37" i="14"/>
  <c r="U38" i="14"/>
  <c r="V38" i="14"/>
  <c r="W38" i="14"/>
  <c r="X38" i="14"/>
  <c r="Y38" i="14"/>
  <c r="Z38" i="14"/>
  <c r="AA38" i="14"/>
  <c r="U39" i="14"/>
  <c r="V39" i="14"/>
  <c r="W39" i="14"/>
  <c r="X39" i="14"/>
  <c r="Y39" i="14"/>
  <c r="Z39" i="14"/>
  <c r="AA39" i="14"/>
  <c r="U40" i="14"/>
  <c r="V40" i="14"/>
  <c r="W40" i="14"/>
  <c r="X40" i="14"/>
  <c r="Y40" i="14"/>
  <c r="Z40" i="14"/>
  <c r="AA40" i="14"/>
  <c r="AA41" i="14"/>
  <c r="Z41" i="14"/>
  <c r="Y41" i="14"/>
  <c r="X41" i="14"/>
  <c r="W41" i="14"/>
  <c r="V41" i="14"/>
  <c r="U41" i="14"/>
  <c r="T41" i="14"/>
  <c r="D10" i="3"/>
  <c r="D14" i="3"/>
  <c r="D11" i="3"/>
  <c r="D15" i="3"/>
  <c r="D13" i="3"/>
  <c r="D5" i="3"/>
  <c r="D6" i="3"/>
  <c r="D4" i="3"/>
  <c r="C4" i="7"/>
  <c r="A26" i="3"/>
  <c r="A27" i="3"/>
  <c r="A29" i="3"/>
  <c r="A28" i="3"/>
  <c r="A1" i="3"/>
  <c r="H12" i="3"/>
  <c r="H1" i="3"/>
  <c r="F14" i="7"/>
  <c r="F17" i="7"/>
  <c r="B4" i="7"/>
  <c r="C3" i="7"/>
  <c r="A9" i="7"/>
  <c r="C4" i="6"/>
  <c r="A16" i="6"/>
  <c r="B19" i="6"/>
  <c r="B20" i="6"/>
  <c r="B21" i="6"/>
  <c r="B22" i="6"/>
  <c r="C18" i="6"/>
  <c r="D5" i="7"/>
  <c r="D6" i="7"/>
  <c r="I17" i="7"/>
  <c r="I18" i="7"/>
  <c r="G18" i="7"/>
  <c r="O18" i="9"/>
  <c r="K18" i="9"/>
  <c r="O17" i="9"/>
  <c r="O16" i="9"/>
  <c r="O21" i="9"/>
  <c r="O20" i="9"/>
  <c r="O19" i="9"/>
  <c r="K13" i="9"/>
  <c r="M13" i="9"/>
  <c r="I13" i="9"/>
  <c r="M12" i="9"/>
  <c r="K12" i="9"/>
  <c r="I12" i="9"/>
  <c r="M11" i="9"/>
  <c r="K11" i="9"/>
  <c r="I11" i="9"/>
  <c r="M10" i="9"/>
  <c r="K10" i="9"/>
  <c r="I10" i="9"/>
  <c r="M5" i="9"/>
  <c r="K5" i="9"/>
  <c r="I5" i="9"/>
  <c r="M14" i="9"/>
  <c r="K14" i="9"/>
  <c r="I14" i="9"/>
  <c r="M9" i="9"/>
  <c r="K9" i="9"/>
  <c r="I9" i="9"/>
  <c r="M8" i="9"/>
  <c r="K8" i="9"/>
  <c r="I8" i="9"/>
  <c r="O7" i="9"/>
  <c r="M7" i="9"/>
  <c r="K7" i="9"/>
  <c r="I7" i="9"/>
  <c r="G3" i="9"/>
  <c r="M3" i="9"/>
  <c r="J3" i="9"/>
  <c r="K3" i="9"/>
  <c r="H3" i="9"/>
  <c r="I3" i="9"/>
  <c r="K6" i="9"/>
  <c r="M6" i="9"/>
  <c r="I6" i="9"/>
  <c r="I16" i="7"/>
  <c r="F23" i="7"/>
  <c r="D1" i="15"/>
  <c r="C1" i="15"/>
  <c r="C17" i="7"/>
  <c r="E34" i="3"/>
  <c r="E26" i="3"/>
  <c r="E27" i="3"/>
  <c r="E28" i="3"/>
  <c r="E29" i="3"/>
  <c r="E4" i="3"/>
  <c r="E5" i="3"/>
  <c r="E6" i="3"/>
  <c r="E14" i="3"/>
  <c r="E13" i="3"/>
  <c r="E12" i="3"/>
  <c r="E11" i="3"/>
  <c r="E15" i="3"/>
  <c r="E10" i="3"/>
  <c r="E1" i="3"/>
  <c r="A17" i="7"/>
  <c r="F12" i="3"/>
  <c r="G5" i="6"/>
  <c r="G6" i="6"/>
  <c r="G3" i="6"/>
  <c r="C2" i="6"/>
  <c r="G2" i="6"/>
  <c r="B17" i="7"/>
  <c r="F19" i="6"/>
  <c r="F20" i="6"/>
  <c r="F21" i="6"/>
  <c r="F22" i="6"/>
  <c r="F5" i="6"/>
  <c r="F6" i="6"/>
  <c r="P12" i="6"/>
  <c r="P13" i="6"/>
  <c r="P2" i="6"/>
  <c r="B14" i="7"/>
  <c r="C14" i="7"/>
  <c r="A20" i="7"/>
  <c r="C21" i="7"/>
  <c r="P12" i="7"/>
  <c r="M13" i="3"/>
  <c r="M5" i="3"/>
  <c r="M2" i="3"/>
  <c r="M11" i="6"/>
  <c r="N26" i="3"/>
  <c r="E22" i="3"/>
  <c r="E21" i="3"/>
  <c r="E20" i="3"/>
  <c r="M14" i="6"/>
  <c r="M15" i="6"/>
  <c r="A23" i="6"/>
  <c r="F10" i="6"/>
  <c r="F12" i="6"/>
  <c r="F13" i="6"/>
  <c r="F14" i="6"/>
  <c r="F15" i="6"/>
  <c r="G11" i="6"/>
  <c r="D15" i="7"/>
  <c r="B29" i="6"/>
  <c r="B26" i="6"/>
  <c r="B30" i="6"/>
  <c r="K3" i="11"/>
  <c r="M3" i="11"/>
  <c r="H10" i="7"/>
  <c r="I10" i="7"/>
  <c r="D34" i="3"/>
  <c r="K2" i="11"/>
  <c r="K4" i="11"/>
  <c r="G5" i="11"/>
  <c r="D5" i="11"/>
  <c r="G4" i="11"/>
  <c r="G3" i="11"/>
  <c r="E3" i="11"/>
  <c r="H10" i="6"/>
  <c r="H2" i="6"/>
  <c r="D3" i="11"/>
  <c r="J11" i="6"/>
  <c r="I14" i="6"/>
  <c r="M13" i="6"/>
  <c r="M12" i="6"/>
  <c r="N10" i="6"/>
  <c r="H14" i="3"/>
  <c r="G14" i="7"/>
  <c r="H14" i="7"/>
  <c r="D2" i="11"/>
  <c r="C9" i="6"/>
  <c r="A25" i="6"/>
  <c r="C3" i="11"/>
  <c r="G4" i="7"/>
  <c r="B3" i="11"/>
  <c r="H4" i="7"/>
  <c r="I15" i="6"/>
  <c r="I2" i="6"/>
  <c r="D4" i="11"/>
  <c r="J4" i="3"/>
  <c r="J1" i="3"/>
  <c r="G2" i="11"/>
  <c r="A3" i="11"/>
  <c r="C1" i="7"/>
  <c r="C7" i="7"/>
  <c r="N13" i="6"/>
  <c r="F11" i="3"/>
  <c r="H9" i="7"/>
  <c r="I9" i="7"/>
  <c r="A24" i="6"/>
  <c r="C3" i="10"/>
  <c r="C2" i="10"/>
  <c r="C5" i="10"/>
  <c r="A14" i="10"/>
  <c r="K9" i="10"/>
  <c r="D14" i="10"/>
  <c r="A18" i="10"/>
  <c r="D18" i="10"/>
  <c r="A10" i="10"/>
  <c r="D10" i="10"/>
  <c r="G22" i="10"/>
  <c r="B29" i="10"/>
  <c r="C29" i="10"/>
  <c r="B28" i="10"/>
  <c r="C28" i="10"/>
  <c r="C14" i="10"/>
  <c r="C4" i="10"/>
  <c r="C10" i="10"/>
  <c r="A23" i="10"/>
  <c r="A24" i="10"/>
  <c r="D23" i="10"/>
  <c r="D22" i="10"/>
  <c r="E23" i="10"/>
  <c r="E22" i="10"/>
  <c r="N12" i="6"/>
  <c r="N2" i="6"/>
  <c r="M6" i="6"/>
  <c r="M2" i="6"/>
  <c r="L5" i="6"/>
  <c r="L2" i="6"/>
  <c r="L14" i="7"/>
  <c r="J2" i="6"/>
  <c r="I5" i="3"/>
  <c r="I13" i="3"/>
  <c r="I1" i="3"/>
  <c r="I3" i="7"/>
  <c r="G34" i="3"/>
  <c r="H6" i="3"/>
  <c r="H10" i="3"/>
  <c r="J11" i="3"/>
  <c r="J15" i="3"/>
  <c r="R10" i="6"/>
  <c r="T10" i="6"/>
  <c r="R14" i="6"/>
  <c r="T14" i="6"/>
  <c r="G3" i="7"/>
  <c r="A7" i="6"/>
  <c r="R12" i="6"/>
  <c r="H3" i="7"/>
  <c r="A19" i="7"/>
</calcChain>
</file>

<file path=xl/comments1.xml><?xml version="1.0" encoding="utf-8"?>
<comments xmlns="http://schemas.openxmlformats.org/spreadsheetml/2006/main">
  <authors>
    <author>Burton Choinski</author>
  </authors>
  <commentList>
    <comment ref="D2" authorId="0">
      <text>
        <r>
          <rPr>
            <b/>
            <sz val="9"/>
            <color indexed="81"/>
            <rFont val="Calibri"/>
            <family val="2"/>
          </rPr>
          <t>Campaign date as of which this sheet is valid.  "Fiscal Year" (when cash flow is handled and resources gathered), is October to October.</t>
        </r>
      </text>
    </comment>
    <comment ref="G2" authorId="0">
      <text>
        <r>
          <rPr>
            <b/>
            <sz val="9"/>
            <color indexed="81"/>
            <rFont val="Calibri"/>
            <family val="2"/>
          </rPr>
          <t>One construction unit is equal to 1 point of effort using Q&amp;D Construction (1t).</t>
        </r>
      </text>
    </comment>
    <comment ref="H2" authorId="0">
      <text>
        <r>
          <rPr>
            <b/>
            <sz val="9"/>
            <color indexed="81"/>
            <rFont val="Calibri"/>
            <family val="2"/>
          </rPr>
          <t>One construction unit is equal to 1 point of effort using Q&amp;D Construction (10t).</t>
        </r>
      </text>
    </comment>
    <comment ref="A3" authorId="0">
      <text>
        <r>
          <rPr>
            <b/>
            <sz val="9"/>
            <color indexed="81"/>
            <rFont val="Calibri"/>
            <family val="2"/>
          </rPr>
          <t>Add new citizens here first, then allocate them to any specific occupations on the "Income" tab</t>
        </r>
      </text>
    </comment>
    <comment ref="B3" authorId="0">
      <text>
        <r>
          <rPr>
            <b/>
            <sz val="9"/>
            <color indexed="81"/>
            <rFont val="Calibri"/>
            <family val="2"/>
          </rPr>
          <t>Additional population that does not add to income or expenses, but factor into population growth.</t>
        </r>
      </text>
    </comment>
    <comment ref="I3" authorId="0">
      <text>
        <r>
          <rPr>
            <b/>
            <sz val="9"/>
            <color indexed="81"/>
            <rFont val="Calibri"/>
            <family val="2"/>
          </rPr>
          <t>Includes token horses from cavalry.</t>
        </r>
      </text>
    </comment>
    <comment ref="I4" authorId="0">
      <text>
        <r>
          <rPr>
            <b/>
            <sz val="9"/>
            <color indexed="81"/>
            <rFont val="Calibri"/>
            <family val="2"/>
          </rPr>
          <t>Add or subtract from reserves at the end of the year.</t>
        </r>
      </text>
    </comment>
    <comment ref="C7" authorId="0">
      <text>
        <r>
          <rPr>
            <b/>
            <sz val="9"/>
            <color indexed="81"/>
            <rFont val="Calibri"/>
            <family val="2"/>
          </rPr>
          <t>Add to civilian count at start of October.</t>
        </r>
      </text>
    </comment>
    <comment ref="H7" authorId="0">
      <text>
        <r>
          <rPr>
            <b/>
            <sz val="9"/>
            <color indexed="81"/>
            <rFont val="Calibri"/>
            <family val="2"/>
          </rPr>
          <t>Grain fed to working horses and mules.  Obviously less in winter.  Mules require less but are generally worked more.</t>
        </r>
      </text>
    </comment>
    <comment ref="D15" authorId="0">
      <text>
        <r>
          <rPr>
            <b/>
            <sz val="9"/>
            <color indexed="81"/>
            <rFont val="Calibri"/>
            <family val="2"/>
          </rPr>
          <t>Quick calc: next year's treasury on October.</t>
        </r>
      </text>
    </comment>
    <comment ref="I17" authorId="0">
      <text>
        <r>
          <rPr>
            <b/>
            <sz val="9"/>
            <color indexed="81"/>
            <rFont val="Calibri"/>
            <family val="2"/>
          </rPr>
          <t>Based on a civilized culture average of x0.04</t>
        </r>
      </text>
    </comment>
  </commentList>
</comments>
</file>

<file path=xl/comments2.xml><?xml version="1.0" encoding="utf-8"?>
<comments xmlns="http://schemas.openxmlformats.org/spreadsheetml/2006/main">
  <authors>
    <author>Burton Choinski</author>
  </authors>
  <commentList>
    <comment ref="A18" authorId="0">
      <text>
        <r>
          <rPr>
            <b/>
            <sz val="9"/>
            <color indexed="81"/>
            <rFont val="Calibri"/>
            <family val="2"/>
          </rPr>
          <t>"shares"  for each income class, default is "1, 5, 25 and 125".</t>
        </r>
      </text>
    </comment>
  </commentList>
</comments>
</file>

<file path=xl/comments3.xml><?xml version="1.0" encoding="utf-8"?>
<comments xmlns="http://schemas.openxmlformats.org/spreadsheetml/2006/main">
  <authors>
    <author>Burton Choinski</author>
  </authors>
  <commentList>
    <comment ref="F5" authorId="0">
      <text>
        <r>
          <rPr>
            <b/>
            <sz val="9"/>
            <color indexed="81"/>
            <rFont val="Calibri"/>
            <family val="2"/>
          </rPr>
          <t>Calavry horses require more grains per year due to training and war use.</t>
        </r>
      </text>
    </comment>
    <comment ref="F11" authorId="0">
      <text>
        <r>
          <rPr>
            <b/>
            <sz val="9"/>
            <color indexed="81"/>
            <rFont val="Calibri"/>
            <family val="2"/>
          </rPr>
          <t>Reflects that they don't eat as much as humans, so you get some "food back"</t>
        </r>
      </text>
    </comment>
    <comment ref="F13" authorId="0">
      <text>
        <r>
          <rPr>
            <b/>
            <sz val="9"/>
            <color indexed="81"/>
            <rFont val="Calibri"/>
            <family val="2"/>
          </rPr>
          <t>As for Cavalry.  Normally, grain cost would be x1 due to the use of steppe horses.</t>
        </r>
      </text>
    </comment>
  </commentList>
</comments>
</file>

<file path=xl/comments4.xml><?xml version="1.0" encoding="utf-8"?>
<comments xmlns="http://schemas.openxmlformats.org/spreadsheetml/2006/main">
  <authors>
    <author>Burton Choinski</author>
  </authors>
  <commentList>
    <comment ref="I3" authorId="0">
      <text>
        <r>
          <rPr>
            <b/>
            <sz val="9"/>
            <color indexed="81"/>
            <rFont val="Calibri"/>
            <family val="2"/>
          </rPr>
          <t>Free Labor plus ONE-QUARTER of the undeployed military</t>
        </r>
      </text>
    </comment>
  </commentList>
</comments>
</file>

<file path=xl/comments5.xml><?xml version="1.0" encoding="utf-8"?>
<comments xmlns="http://schemas.openxmlformats.org/spreadsheetml/2006/main">
  <authors>
    <author>Burton Choinski</author>
  </authors>
  <commentList>
    <comment ref="B3" authorId="0">
      <text>
        <r>
          <rPr>
            <b/>
            <sz val="9"/>
            <color indexed="81"/>
            <rFont val="Calibri"/>
            <family val="2"/>
          </rPr>
          <t>Knowledge Steps From Player Culture</t>
        </r>
      </text>
    </comment>
    <comment ref="C3" authorId="0">
      <text>
        <r>
          <rPr>
            <b/>
            <sz val="9"/>
            <color indexed="81"/>
            <rFont val="Calibri"/>
            <family val="2"/>
          </rPr>
          <t>Hexes Away</t>
        </r>
      </text>
    </comment>
    <comment ref="S3" authorId="0">
      <text>
        <r>
          <rPr>
            <b/>
            <sz val="9"/>
            <color indexed="81"/>
            <rFont val="Calibri"/>
            <family val="2"/>
          </rPr>
          <t>Per person</t>
        </r>
      </text>
    </comment>
    <comment ref="A14" authorId="0">
      <text>
        <r>
          <rPr>
            <b/>
            <sz val="9"/>
            <color indexed="81"/>
            <rFont val="Calibri"/>
            <family val="2"/>
          </rPr>
          <t>A largely captive population, even if recruited, 90% would be unable to leave by normal means to make the trip.</t>
        </r>
      </text>
    </comment>
    <comment ref="Q14" authorId="0">
      <text>
        <r>
          <rPr>
            <b/>
            <sz val="9"/>
            <color indexed="81"/>
            <rFont val="Calibri"/>
            <family val="2"/>
          </rPr>
          <t>Higher due to the amount of bribes, fines, or extra time required to recruit without being jailed</t>
        </r>
      </text>
    </comment>
  </commentList>
</comments>
</file>

<file path=xl/comments6.xml><?xml version="1.0" encoding="utf-8"?>
<comments xmlns="http://schemas.openxmlformats.org/spreadsheetml/2006/main">
  <authors>
    <author>Burton Choinski</author>
  </authors>
  <commentList>
    <comment ref="B3" authorId="0">
      <text>
        <r>
          <rPr>
            <b/>
            <sz val="9"/>
            <color indexed="81"/>
            <rFont val="Calibri"/>
            <family val="2"/>
          </rPr>
          <t xml:space="preserve">INN:
30x70 Open Rubble Basement (Common)
30x10+70x30+30x90 Open Rubble 1st Floor (Fine)
70x30+30x90 Normal Rubble snd Floor (Fine)
30x10+70x30+30x90 Arched Rubble Roof (Good)
Extensive Heating/Hearth
RENTAL HOMES (6):
30x50 Open Rubble 1st Floor (Fine)
30x50 Arched Rubble Roof (Good)
Extensive Heating/Hearth
STABLES:
30x20+50x50 Grand Rubble 1st Floor (Good)
30x20 Arched Rubble Roof (Common)
50x50 Barn Rubble Roof (Common)
Basic Heating/Hearth
</t>
        </r>
        <r>
          <rPr>
            <sz val="9"/>
            <color indexed="81"/>
            <rFont val="Calibri"/>
            <family val="2"/>
          </rPr>
          <t xml:space="preserve">
LAND:
10 acres (pasture)</t>
        </r>
      </text>
    </comment>
    <comment ref="B4" authorId="0">
      <text>
        <r>
          <rPr>
            <b/>
            <sz val="9"/>
            <color indexed="81"/>
            <rFont val="Calibri"/>
            <family val="2"/>
          </rPr>
          <t>MANOR:
40x40 Normal Rubble Basement (Good)
40x40 Open Rubble 1st Floor (Fine)
40x40 Open Rubble 2nd Floor (Fine)
40x40 Rubble Roof (Good)
Extensive Heating/Hearth
FORGE:
20x30 Normal Rubble 1st Floor (Common)
20x30 Rubble Roof (Common)
Forge
BOWYER WORKSHOP:
20x30 Normal Rubble 1st Floor (Common)
20x30 Rubble Roof (Common)
Extensive Heating/Hearth</t>
        </r>
      </text>
    </comment>
    <comment ref="B5" authorId="0">
      <text>
        <r>
          <rPr>
            <b/>
            <sz val="9"/>
            <color indexed="81"/>
            <rFont val="Calibri"/>
            <family val="2"/>
          </rPr>
          <t xml:space="preserve">50x80 Rubble Basement (Common)
50x80 Open Rubble 1st Floor (Opulent)
50x80 Rubble 2nd Floor (fine)
50x80 Rubble Roof (Fine)
Extensive Hearths
</t>
        </r>
      </text>
    </comment>
    <comment ref="B6" authorId="0">
      <text>
        <r>
          <rPr>
            <b/>
            <sz val="9"/>
            <color indexed="81"/>
            <rFont val="Calibri"/>
            <family val="2"/>
          </rPr>
          <t xml:space="preserve">30x50 Rubble Basement (Common)
30x50 Open Rubble 1st Floor (Good)
30x50 Rubble 2nd Floor (Common)
30x50 Rubble Roof (Common)
Basic Hearth
</t>
        </r>
      </text>
    </comment>
    <comment ref="B7" authorId="0">
      <text>
        <r>
          <rPr>
            <sz val="9"/>
            <color indexed="81"/>
            <rFont val="Calibri"/>
            <family val="2"/>
          </rPr>
          <t xml:space="preserve">30x50 Normal Rubble Basement (Good)
30x50 Open Wooden 1st Floor (Fine)
30x50 Normal Wooden 2nd Floor (Fine)
30x50 Wooden Roof (Fine)
Extensive Heating/Hearth
</t>
        </r>
      </text>
    </comment>
    <comment ref="B8" authorId="0">
      <text>
        <r>
          <rPr>
            <b/>
            <sz val="9"/>
            <color indexed="81"/>
            <rFont val="Calibri"/>
            <family val="2"/>
          </rPr>
          <t xml:space="preserve">30x40 Normal Rubble Basement (Fine)
30x40 Open Rubble 1st Floor (Fine)
30x40 Normal Rubble 2nd Floor (Fine)
30x40 Rubble Roof (Fine)
Extensive Heating/Hearth
</t>
        </r>
      </text>
    </comment>
    <comment ref="B9" authorId="0">
      <text>
        <r>
          <rPr>
            <b/>
            <sz val="9"/>
            <color indexed="81"/>
            <rFont val="Calibri"/>
            <family val="2"/>
          </rPr>
          <t xml:space="preserve">30x40 Normal Rubble Basement (Good)
30x40 Open Rubble 1st Floor (Fine)
30x40 Normal Rubble 2nd Floor (Fine)
30x40 Rubble Roof (Good)
Extensive Heating/Hearth
</t>
        </r>
      </text>
    </comment>
  </commentList>
</comments>
</file>

<file path=xl/comments7.xml><?xml version="1.0" encoding="utf-8"?>
<comments xmlns="http://schemas.openxmlformats.org/spreadsheetml/2006/main">
  <authors>
    <author>Burton Choinski</author>
  </authors>
  <commentList>
    <comment ref="H8" authorId="0">
      <text>
        <r>
          <rPr>
            <b/>
            <sz val="9"/>
            <color indexed="81"/>
            <rFont val="Calibri"/>
            <family val="2"/>
          </rPr>
          <t>If the economic description mentions rich farmland, or excellent hunting, select "Superior"</t>
        </r>
      </text>
    </comment>
    <comment ref="E23" authorId="0">
      <text>
        <r>
          <rPr>
            <b/>
            <sz val="9"/>
            <color indexed="81"/>
            <rFont val="Calibri"/>
            <family val="2"/>
          </rPr>
          <t>Only a food exporter if x0.5 or better</t>
        </r>
      </text>
    </comment>
  </commentList>
</comments>
</file>

<file path=xl/sharedStrings.xml><?xml version="1.0" encoding="utf-8"?>
<sst xmlns="http://schemas.openxmlformats.org/spreadsheetml/2006/main" count="549" uniqueCount="406">
  <si>
    <t>Occupation</t>
  </si>
  <si>
    <t>Station</t>
  </si>
  <si>
    <t>Income</t>
  </si>
  <si>
    <t>Cropland</t>
  </si>
  <si>
    <t>Wilderness</t>
  </si>
  <si>
    <t>Miners</t>
  </si>
  <si>
    <t>Forest</t>
  </si>
  <si>
    <t>Horsebreeders</t>
  </si>
  <si>
    <t>Food Production</t>
  </si>
  <si>
    <t>Total</t>
  </si>
  <si>
    <t>Slaves</t>
  </si>
  <si>
    <t>Tax Rate</t>
  </si>
  <si>
    <t>Owner</t>
  </si>
  <si>
    <t>Support</t>
  </si>
  <si>
    <t>Military</t>
  </si>
  <si>
    <t>Archers/Skirmishers</t>
  </si>
  <si>
    <t>Cavalry</t>
  </si>
  <si>
    <t>Specialty Military</t>
  </si>
  <si>
    <t>Dwarf Axemen</t>
  </si>
  <si>
    <t>Elf Rangers</t>
  </si>
  <si>
    <t>Hunfrithi Warriors</t>
  </si>
  <si>
    <t>Kazi Horsearchers</t>
  </si>
  <si>
    <t>Novholm Archers</t>
  </si>
  <si>
    <t>Kazi Warriors</t>
  </si>
  <si>
    <t>Government</t>
  </si>
  <si>
    <t>Clerk</t>
  </si>
  <si>
    <t>Minister</t>
  </si>
  <si>
    <t>Executive</t>
  </si>
  <si>
    <t>On-Hand Specialists</t>
  </si>
  <si>
    <t>Specialists</t>
  </si>
  <si>
    <t>Master Specialists</t>
  </si>
  <si>
    <t>Timber</t>
  </si>
  <si>
    <t>Foresters</t>
  </si>
  <si>
    <t>Quarrymen</t>
  </si>
  <si>
    <t>Stone</t>
  </si>
  <si>
    <t>Cropland assumed to be 1/2 fallow.</t>
  </si>
  <si>
    <t>Dwarves produce 50% more value when working with stone, 25% more value when working with metal.</t>
  </si>
  <si>
    <t>Child Margin</t>
  </si>
  <si>
    <t>Total Population</t>
  </si>
  <si>
    <t>Mine Owner</t>
  </si>
  <si>
    <t>Population</t>
  </si>
  <si>
    <t>Resources</t>
  </si>
  <si>
    <t>Smelting requires 20t wood per 1t ore</t>
  </si>
  <si>
    <t>Food Purchase</t>
  </si>
  <si>
    <t>Modifiers</t>
  </si>
  <si>
    <t>Farm Quality</t>
  </si>
  <si>
    <t>Mine Quality</t>
  </si>
  <si>
    <t>Cash Flow</t>
  </si>
  <si>
    <t>Base Farmer Margin</t>
  </si>
  <si>
    <t>Base Hunter Margin</t>
  </si>
  <si>
    <t>Farmer Acres (Fallow + Active)</t>
  </si>
  <si>
    <t>Hunter Acres</t>
  </si>
  <si>
    <t>Gold per ton</t>
  </si>
  <si>
    <t>Stone Cut and Dressed for Construction, per quarryman (tons)</t>
  </si>
  <si>
    <t>Dwarf Stone Efficiency</t>
  </si>
  <si>
    <t>Base Value produced per Miner (gold)</t>
  </si>
  <si>
    <t>Horse Herd per Breeder</t>
  </si>
  <si>
    <t>Herd Increase Rate per Year</t>
  </si>
  <si>
    <t>Base cost for 1 support point</t>
  </si>
  <si>
    <t>Gold per horse</t>
  </si>
  <si>
    <t>Cultivatable acres per hex</t>
  </si>
  <si>
    <t>Usable wilderness acres per hex</t>
  </si>
  <si>
    <t>Civilized Farmer</t>
  </si>
  <si>
    <t>• Sustainable wood gathering is limited to 2t per acre</t>
  </si>
  <si>
    <t>Civilians</t>
  </si>
  <si>
    <t>Key Resources</t>
  </si>
  <si>
    <t>Gold per pound</t>
  </si>
  <si>
    <t>Other</t>
  </si>
  <si>
    <t>Artisans/Merchants</t>
  </si>
  <si>
    <t>Labor</t>
  </si>
  <si>
    <t>Crafters/Services</t>
  </si>
  <si>
    <t>Barbarian Hunter/Gatherer</t>
  </si>
  <si>
    <t>Wood CU</t>
  </si>
  <si>
    <t>Stone CU</t>
  </si>
  <si>
    <t xml:space="preserve">     Dwarf Quarrymen</t>
  </si>
  <si>
    <t xml:space="preserve">     Dwarf Miners</t>
  </si>
  <si>
    <t>Wood CUs</t>
  </si>
  <si>
    <t>Stone CUs</t>
  </si>
  <si>
    <t>&lt;&lt; Reserves</t>
  </si>
  <si>
    <t>Horses</t>
  </si>
  <si>
    <t>Gold per CU</t>
  </si>
  <si>
    <t>Wintering</t>
  </si>
  <si>
    <t>Care</t>
  </si>
  <si>
    <t>Horse Pool</t>
  </si>
  <si>
    <t>Mule Pool</t>
  </si>
  <si>
    <t>Footmen</t>
  </si>
  <si>
    <t>Archers</t>
  </si>
  <si>
    <t>Government Types</t>
  </si>
  <si>
    <t>Total Military</t>
  </si>
  <si>
    <t>Public Safety</t>
  </si>
  <si>
    <t>Guards/Patrol</t>
  </si>
  <si>
    <t>tribute to Riala for Fort per year</t>
  </si>
  <si>
    <t>Birth Rate</t>
  </si>
  <si>
    <t>Territory Needs</t>
  </si>
  <si>
    <t>Wilds</t>
  </si>
  <si>
    <t>x4 for badlands, x10 for desert</t>
  </si>
  <si>
    <t>x2 for hills, x4  for mountains or swamp, x10 for plains, x20 for badlands</t>
  </si>
  <si>
    <t>Notes</t>
  </si>
  <si>
    <t>x2 for hills, x4 for mountain, x10 for badlands or desert</t>
  </si>
  <si>
    <t>Miners produce 160# of durable metal, 400# of soft metal, 0.8# of silver or 0.04# of gold per year</t>
  </si>
  <si>
    <t>Raw Numbers</t>
  </si>
  <si>
    <t>City Population</t>
  </si>
  <si>
    <t>&gt;&gt;&gt;</t>
  </si>
  <si>
    <t>Tribal Population</t>
  </si>
  <si>
    <t>Tribal</t>
  </si>
  <si>
    <t>Food</t>
  </si>
  <si>
    <t>Rural</t>
  </si>
  <si>
    <t>Results</t>
  </si>
  <si>
    <t>Urban/Remainder</t>
  </si>
  <si>
    <t>diplomatic point in Treaus</t>
  </si>
  <si>
    <t>GNI</t>
  </si>
  <si>
    <t>Metal Market:</t>
  </si>
  <si>
    <t>Normal</t>
  </si>
  <si>
    <t>Importer</t>
  </si>
  <si>
    <t>Metal Output Available</t>
  </si>
  <si>
    <t>Durable metal goes for 5bb/pound (200#/GC), 2bb/pound for soft metals;  Silver goes for 100CC/#, Gold goes for 20GC/#</t>
  </si>
  <si>
    <t>Tons of wood per miner (smelting)</t>
  </si>
  <si>
    <t>Metal Profit with Kolvassi</t>
  </si>
  <si>
    <t>Metal Profit with Usetti</t>
  </si>
  <si>
    <t>Import</t>
  </si>
  <si>
    <t>Export</t>
  </si>
  <si>
    <t>Superior</t>
  </si>
  <si>
    <t>Culure</t>
  </si>
  <si>
    <t>Donara</t>
  </si>
  <si>
    <t>City Trade Mod</t>
  </si>
  <si>
    <t>Caldo</t>
  </si>
  <si>
    <t>Djanesborg</t>
  </si>
  <si>
    <t>Treaus</t>
  </si>
  <si>
    <t>Dirllar</t>
  </si>
  <si>
    <t>Rural Population</t>
  </si>
  <si>
    <t>Unlisted</t>
  </si>
  <si>
    <t>Net Food</t>
  </si>
  <si>
    <t>Food Mod</t>
  </si>
  <si>
    <t>Contact</t>
  </si>
  <si>
    <t>Great Contact</t>
  </si>
  <si>
    <t>Ally</t>
  </si>
  <si>
    <t>Great Ally</t>
  </si>
  <si>
    <t>Fanatical Ally</t>
  </si>
  <si>
    <t>---</t>
  </si>
  <si>
    <t>The listed food requirements for horses assumes pasturage; an army on the move requires 500# of food and water per 100 footmen (3500# per 100 cavalry) per day of travel</t>
  </si>
  <si>
    <t>P&amp;P Trade Data</t>
  </si>
  <si>
    <t>Metal</t>
  </si>
  <si>
    <t>PLAYERS</t>
  </si>
  <si>
    <t>Food Extra</t>
  </si>
  <si>
    <t>Total Food Import</t>
  </si>
  <si>
    <t>400 Footmen allocated for additional hunting needs HALF the time (x0.5) and 75% effective as hunters = 150 effective hunters = 165 food</t>
  </si>
  <si>
    <t>Dwarf Metal Efficiency</t>
  </si>
  <si>
    <t>Dwarves consume same food as humans,elves consume ONE-THIRD</t>
  </si>
  <si>
    <t>Other Yearly Amounts</t>
  </si>
  <si>
    <t>Man/Days</t>
  </si>
  <si>
    <t>Wood</t>
  </si>
  <si>
    <t>Masons can construct 180T of structure per year</t>
  </si>
  <si>
    <t>Tons of wood per Effort of construction</t>
  </si>
  <si>
    <t>Tons of stone per Effort of construction</t>
  </si>
  <si>
    <t>Outer Wall (5 miles x 10' x 20' high)</t>
  </si>
  <si>
    <t>Orange Road to Treaus (100 miles)</t>
  </si>
  <si>
    <t>Avail Labor/yr</t>
  </si>
  <si>
    <t>D1 Apartments (from early days)</t>
  </si>
  <si>
    <t>Initial Start of culture</t>
  </si>
  <si>
    <t>S1 Homes &amp; S1 Barns (farmers)</t>
  </si>
  <si>
    <t>S1 Homes (foresters)</t>
  </si>
  <si>
    <t>D2 Apartments (Miners and Quarrymen)</t>
  </si>
  <si>
    <t>D2 Apartments (common laborers)</t>
  </si>
  <si>
    <t>D2 Apartments (Military)</t>
  </si>
  <si>
    <t>S2 Homes (crafters and government clerks)</t>
  </si>
  <si>
    <t>S3 Homes (Artisans, Government executives, Specialists)</t>
  </si>
  <si>
    <t>S4 Homes (Master Specialists, Professionals)</t>
  </si>
  <si>
    <t>L6 Palace (You guys, Regent)</t>
  </si>
  <si>
    <t>Urban</t>
  </si>
  <si>
    <t>Available Labor</t>
  </si>
  <si>
    <t>Regent/Governor</t>
  </si>
  <si>
    <t>Professionals</t>
  </si>
  <si>
    <t>Treasury</t>
  </si>
  <si>
    <t>Reserved Labor (used by upper classes)</t>
  </si>
  <si>
    <t>Resource income remainder of Year 9 (to october)</t>
  </si>
  <si>
    <t>Horse Purchase</t>
  </si>
  <si>
    <t>Stone Purchase</t>
  </si>
  <si>
    <t>Timber goes for 6BB/ton (cord), cut lumber goes for 12CC/ton</t>
  </si>
  <si>
    <t>Construction</t>
  </si>
  <si>
    <t>2 Elder priests (1 master), 2 Law priests (1 master), 8 low level law magicians, 3 sidhe magicians (1 master), 18 healers (2 master), 2 Architects (1 master)</t>
  </si>
  <si>
    <t>Max Construct</t>
  </si>
  <si>
    <t>Max Labor</t>
  </si>
  <si>
    <t>Administration Skill</t>
  </si>
  <si>
    <t>Part-Time</t>
  </si>
  <si>
    <t>Full-Time</t>
  </si>
  <si>
    <t>Admin Skill Effect</t>
  </si>
  <si>
    <t>Deployed</t>
  </si>
  <si>
    <t>Relationship Levels</t>
  </si>
  <si>
    <t>Partner</t>
  </si>
  <si>
    <t>Friendly</t>
  </si>
  <si>
    <t>Favored</t>
  </si>
  <si>
    <t>Neutral</t>
  </si>
  <si>
    <t>Disdained</t>
  </si>
  <si>
    <t>Unfriendly</t>
  </si>
  <si>
    <t>Hostile</t>
  </si>
  <si>
    <t>Enemy</t>
  </si>
  <si>
    <t>At War</t>
  </si>
  <si>
    <t>Culture</t>
  </si>
  <si>
    <t>Relations</t>
  </si>
  <si>
    <t>Fierazi/Riala</t>
  </si>
  <si>
    <t>Tithe/protection agreement with road section</t>
  </si>
  <si>
    <t>Characters Wanted Criminals in Donara</t>
  </si>
  <si>
    <t>Goiden</t>
  </si>
  <si>
    <t>Overall</t>
  </si>
  <si>
    <t>Goiden/Connatta</t>
  </si>
  <si>
    <t>Elves</t>
  </si>
  <si>
    <t>Friendly with Samma-area Elves</t>
  </si>
  <si>
    <t>Project Queue</t>
  </si>
  <si>
    <t>40x100 rubble basement (grand)</t>
  </si>
  <si>
    <t>40x100 wood first floor (20 normal, 20 open), common finish</t>
  </si>
  <si>
    <t>-- 20 people</t>
  </si>
  <si>
    <t>40x100 wood roof</t>
  </si>
  <si>
    <t>6 rubble hearths</t>
  </si>
  <si>
    <t>= 2,126 man-days, 1,803CC (197 wood, 44 stone)</t>
  </si>
  <si>
    <t>Later roman-style apartments, for 100 people (urban style)</t>
  </si>
  <si>
    <t>D2 Apartments (supervised construction)</t>
  </si>
  <si>
    <t>40x100 rubble first floor (20 normal, 20 open), common finish</t>
  </si>
  <si>
    <t>40x100 ashlar roof</t>
  </si>
  <si>
    <t>= 7,440 man-days, 4,440CC (240 stone)</t>
  </si>
  <si>
    <t>Standard wood home for farmers,foresters, hunters</t>
  </si>
  <si>
    <t>S1 Home (supervised construction):</t>
  </si>
  <si>
    <t>20x10 rubble basement (tight)</t>
  </si>
  <si>
    <t>20x20 wood first floor (normal), common finish</t>
  </si>
  <si>
    <t>20x10 wood second floor (normal), common finish</t>
  </si>
  <si>
    <t>20x20 wood roof</t>
  </si>
  <si>
    <t>1 rubble hearth</t>
  </si>
  <si>
    <t>= 225 man-days, 154CC (11 wood, 6 stone)</t>
  </si>
  <si>
    <t>Standard barn for farmers</t>
  </si>
  <si>
    <t>S1 Barn (supervised construction)</t>
  </si>
  <si>
    <t>20x20 wood first floor</t>
  </si>
  <si>
    <t>20x20 wood roof (arched)</t>
  </si>
  <si>
    <t>= 24 man-days, 21CC (8 wood)</t>
  </si>
  <si>
    <t>Urban home for crafters and station 2 people</t>
  </si>
  <si>
    <t>S2 Home (supervised construction)</t>
  </si>
  <si>
    <t>20x30 rubble basement (normal), common finish</t>
  </si>
  <si>
    <t>20x30 rubble first floor (normal), good finish</t>
  </si>
  <si>
    <t>20x30 rubble second floor (normal), good finish</t>
  </si>
  <si>
    <t>20x30 ashlar roof</t>
  </si>
  <si>
    <t>= 971 man-days, 687CC (30 stone)</t>
  </si>
  <si>
    <t>Urban home for artisans and station 3 people</t>
  </si>
  <si>
    <t>S3 Home (supervised construction)</t>
  </si>
  <si>
    <t>30x30 rubble basement (normal), common finish</t>
  </si>
  <si>
    <t>30x30 rubble first floor (normal), fine finish</t>
  </si>
  <si>
    <t>30x30 rubble second floor (normal), fine finish</t>
  </si>
  <si>
    <t>30x20 rubble thrid floor (normal), fine finish</t>
  </si>
  <si>
    <t>30x30 ashlar roof, good finish</t>
  </si>
  <si>
    <t>2 rubble hearths</t>
  </si>
  <si>
    <t>= 2,040 man-days, 1,603CC (58 stone)</t>
  </si>
  <si>
    <t xml:space="preserve">Urban home for profesionals, specialists, station 4 people.  Designed for 4 people, </t>
  </si>
  <si>
    <t>at your expense for government buildings)</t>
  </si>
  <si>
    <t>S4 Home (craftsman construction)</t>
  </si>
  <si>
    <t>30x50 rubble basement (normal), good finish</t>
  </si>
  <si>
    <t>30x50+10x30 rubble first floor (open), opulent finish</t>
  </si>
  <si>
    <t>30x50 rubble second floor (normal), opulent finish</t>
  </si>
  <si>
    <t>30x50 rubble third floor (normal), opulent finish</t>
  </si>
  <si>
    <t>30x50+10x30 ashlar roof, good finish</t>
  </si>
  <si>
    <t>3 rubble hearths</t>
  </si>
  <si>
    <t>= 3,182 man-days, 4,931CC (103 stone)</t>
  </si>
  <si>
    <t>-- extra cost 1,800CC</t>
  </si>
  <si>
    <t>Original palace for the original 3, home of the regent.  Originally places where you stated</t>
  </si>
  <si>
    <t>(back to the mountain on the high hill, overlooking the pocket.  You needed to hire extra</t>
  </si>
  <si>
    <t>crafstmen for this construction in order to get to the proper opulance.</t>
  </si>
  <si>
    <t>L6 Palace (crafstman construction)</t>
  </si>
  <si>
    <t>30x40 ashlar sub-basement (normal), good finish</t>
  </si>
  <si>
    <t>30x80 ashlar basement (open), fine finish</t>
  </si>
  <si>
    <t>30x80+20x30 ashlar first floor (grand), extravagant finish</t>
  </si>
  <si>
    <t>30x80 ashlar second floor (open), extravagant finish</t>
  </si>
  <si>
    <t>30x80 ashlar third floor (open), extravagant finish</t>
  </si>
  <si>
    <t>20x80+10x60 ashlar fourth floor (open), extravagant finish</t>
  </si>
  <si>
    <t>30x80+20x30 ashlar roof, fine finish</t>
  </si>
  <si>
    <t>10 ashlar hearths</t>
  </si>
  <si>
    <t>= 10,763 man-days, 19,932CC (213 stone)</t>
  </si>
  <si>
    <t>-- extra cost 6,300CC</t>
  </si>
  <si>
    <t>-- your vaults</t>
  </si>
  <si>
    <t>Status</t>
  </si>
  <si>
    <t>Project</t>
  </si>
  <si>
    <t>D1</t>
  </si>
  <si>
    <t xml:space="preserve">Rural Roman-style appartments for 100 people (25x4).  </t>
  </si>
  <si>
    <t>Culture Recruiting Notes</t>
  </si>
  <si>
    <t>Militia</t>
  </si>
  <si>
    <t>Restless</t>
  </si>
  <si>
    <t>State</t>
  </si>
  <si>
    <t>Distance</t>
  </si>
  <si>
    <t>Warriors</t>
  </si>
  <si>
    <t xml:space="preserve">     Max Supervised </t>
  </si>
  <si>
    <t>M/D per Month</t>
  </si>
  <si>
    <t>Clear Castle Area</t>
  </si>
  <si>
    <t>Grey Road to Riala</t>
  </si>
  <si>
    <t>Working</t>
  </si>
  <si>
    <t>Manor</t>
  </si>
  <si>
    <t>Merchant District</t>
  </si>
  <si>
    <t>Fearful</t>
  </si>
  <si>
    <t>Oct, Nov, Dec Y9</t>
  </si>
  <si>
    <t>Riala Bridge (Stone)</t>
  </si>
  <si>
    <t>Inn</t>
  </si>
  <si>
    <t>Jan, Feb Y10</t>
  </si>
  <si>
    <t>Castle Outer Wall</t>
  </si>
  <si>
    <t>Outside Property</t>
  </si>
  <si>
    <t>Type</t>
  </si>
  <si>
    <t>Value</t>
  </si>
  <si>
    <t>Fomoria City, Merchant District -- 1.5GC profit/year</t>
  </si>
  <si>
    <t>Road between Caldo and Bara -- 11GC profit/year (still need to add walls &amp; pasture fence)</t>
  </si>
  <si>
    <t>Opulent Inn</t>
  </si>
  <si>
    <t>Djanesborg, Merchant District -- 6GC profit/year</t>
  </si>
  <si>
    <t>Caldo City, Government District -- Includes Forge, Bowyer shop</t>
  </si>
  <si>
    <t>House</t>
  </si>
  <si>
    <t>Fomoria (Fomoria)</t>
  </si>
  <si>
    <t>Djanesborg (Djanesborg)</t>
  </si>
  <si>
    <t>Treaus (Treaus)</t>
  </si>
  <si>
    <t>Caldo (Caldo)</t>
  </si>
  <si>
    <t>Goventment district</t>
  </si>
  <si>
    <t>Merchant District, Artisan's house</t>
  </si>
  <si>
    <t>Marentia (Malnon)</t>
  </si>
  <si>
    <t>Fine Inn</t>
  </si>
  <si>
    <t>Mar Y10</t>
  </si>
  <si>
    <t>• Outer wall (1000x1000)</t>
  </si>
  <si>
    <t>Complete</t>
  </si>
  <si>
    <t>Castle Project</t>
  </si>
  <si>
    <t>Aquaduct Project</t>
  </si>
  <si>
    <t>Forester Tons of Wood per Year (board)</t>
  </si>
  <si>
    <t>• rubble, 120 tons for ashlar block</t>
  </si>
  <si>
    <t>Carpenters can construct 50 units of structure per year</t>
  </si>
  <si>
    <t>Pay converted to gold per year (expenses)</t>
  </si>
  <si>
    <t>Pay converted to gold per year (income)</t>
  </si>
  <si>
    <t>Ratio</t>
  </si>
  <si>
    <t>B/D</t>
  </si>
  <si>
    <t>M</t>
  </si>
  <si>
    <t>H</t>
  </si>
  <si>
    <t>B</t>
  </si>
  <si>
    <t>D</t>
  </si>
  <si>
    <t>M/S</t>
  </si>
  <si>
    <t>P</t>
  </si>
  <si>
    <t>Outside properties, less tax</t>
  </si>
  <si>
    <t>Soldiers</t>
  </si>
  <si>
    <t>Sol Mul</t>
  </si>
  <si>
    <t>Mil Mul</t>
  </si>
  <si>
    <t>War Mul</t>
  </si>
  <si>
    <t>A'Korchu</t>
  </si>
  <si>
    <t>Gom</t>
  </si>
  <si>
    <t>Ma'Helas</t>
  </si>
  <si>
    <t>Marentia</t>
  </si>
  <si>
    <t>Rogizini</t>
  </si>
  <si>
    <t>Kazi</t>
  </si>
  <si>
    <t>Kolari</t>
  </si>
  <si>
    <t>Kolaro</t>
  </si>
  <si>
    <t>Fierazi (no)</t>
  </si>
  <si>
    <t>Fierazi (so)</t>
  </si>
  <si>
    <t xml:space="preserve">40x100 wood second floor (normal), common finish               </t>
  </si>
  <si>
    <t xml:space="preserve">40x100 wood third floor (normal), common finish                 </t>
  </si>
  <si>
    <t>-- 40 people</t>
  </si>
  <si>
    <t xml:space="preserve">40x100 rubble second floor (normal), common finish               </t>
  </si>
  <si>
    <t xml:space="preserve">40x100 rubble third floor (normal), common finish                 </t>
  </si>
  <si>
    <t xml:space="preserve">Requires hiring additional craftsmen from Treaus or Caldo (at their expense for professionals, </t>
  </si>
  <si>
    <t>Metal  allocated to Kolari (x0.6) and Treaus (x1.3).</t>
  </si>
  <si>
    <t>Extra Metal Profit with Ghavasi</t>
  </si>
  <si>
    <t>Food has a base value of 0.2GC per support point; when purchased a 25% premium is added</t>
  </si>
  <si>
    <t>• A P&amp;P hex is 200,000 acres (5000' per mile, 20 miles across); a 20 mile hex is 345square miles</t>
  </si>
  <si>
    <t>Keep</t>
  </si>
  <si>
    <t>Jan Y11</t>
  </si>
  <si>
    <t>Culture/City</t>
  </si>
  <si>
    <t>2CC</t>
  </si>
  <si>
    <t>Very Content</t>
  </si>
  <si>
    <t>Content</t>
  </si>
  <si>
    <t>5CC</t>
  </si>
  <si>
    <t>Aratad/Eurad</t>
  </si>
  <si>
    <t>Y10</t>
  </si>
  <si>
    <t>Y11</t>
  </si>
  <si>
    <t>Y12</t>
  </si>
  <si>
    <t>Y13</t>
  </si>
  <si>
    <t>Y14</t>
  </si>
  <si>
    <t>Y15</t>
  </si>
  <si>
    <t>Y16</t>
  </si>
  <si>
    <t>Y17</t>
  </si>
  <si>
    <t>Aratad/Rhozad</t>
  </si>
  <si>
    <t>Aratad/Aratad</t>
  </si>
  <si>
    <t>Zarun/Zara</t>
  </si>
  <si>
    <t>1GC</t>
  </si>
  <si>
    <t>3SC</t>
  </si>
  <si>
    <t>1SC</t>
  </si>
  <si>
    <t>Recruiting Cost per 1,000 people</t>
  </si>
  <si>
    <t>Marentia/Malnon</t>
  </si>
  <si>
    <t>Marentia/Maren</t>
  </si>
  <si>
    <t>Marentia/Sivas</t>
  </si>
  <si>
    <t>Population Gain in October</t>
  </si>
  <si>
    <t>Food import x0.4 from Treaus, x0.3 from Caldo</t>
  </si>
  <si>
    <t>Steps</t>
  </si>
  <si>
    <t>Recr. Mod</t>
  </si>
  <si>
    <t>Trav. Cost</t>
  </si>
  <si>
    <t>Treaus/Treaus</t>
  </si>
  <si>
    <t>Caldo/Caldo</t>
  </si>
  <si>
    <t>Caldo/Bara</t>
  </si>
  <si>
    <t>Djanesborg/Djanesborg</t>
  </si>
  <si>
    <t>Djanesborg/Novholm</t>
  </si>
  <si>
    <t>Djanesborg/Loch Svear</t>
  </si>
  <si>
    <t>Djanesborg/Sokkvabbek</t>
  </si>
  <si>
    <t>Dirllar/Dirlla</t>
  </si>
  <si>
    <t>Fomoria/Fomoria</t>
  </si>
  <si>
    <t>Donara/Salaqara</t>
  </si>
  <si>
    <t>Naval</t>
  </si>
  <si>
    <t>Naval Mod</t>
  </si>
  <si>
    <t>Warship</t>
  </si>
  <si>
    <t>Hv. Warship</t>
  </si>
  <si>
    <t>a 10x10x10 lock of rock contains 80 tons of usable rock (3 Effort)</t>
  </si>
  <si>
    <t>The population requires 1 acre of forest/person to supply fuel for heating and cooking.</t>
  </si>
  <si>
    <t>Power</t>
  </si>
  <si>
    <t>Military horses require 2.5# of grain while encamped (1 support point), by 10# when on campaign (4 support points).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</si>
</sst>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64" formatCode="#,##0\b\/\d\a\y"/>
    <numFmt numFmtId="165" formatCode="#,##0.00\ \h\e\x"/>
    <numFmt numFmtId="166" formatCode="#,##0\G\C"/>
    <numFmt numFmtId="167" formatCode="#,##0\ \a\c\r\e\s"/>
    <numFmt numFmtId="168" formatCode="\x#,##0.00"/>
    <numFmt numFmtId="169" formatCode="#,##0\:\1"/>
    <numFmt numFmtId="170" formatCode="\+#,##0\/\y\r"/>
    <numFmt numFmtId="171" formatCode="\(0.00\S\C\)"/>
    <numFmt numFmtId="172" formatCode="\x#,##0.0"/>
    <numFmt numFmtId="173" formatCode="\G\N\I\ #,##0"/>
    <numFmt numFmtId="174" formatCode="\R\e\v\ 0.0"/>
    <numFmt numFmtId="175" formatCode="#,##0\ \m\/\d"/>
    <numFmt numFmtId="176" formatCode="#,##0\ \C\C"/>
    <numFmt numFmtId="177" formatCode="0.0%"/>
    <numFmt numFmtId="178" formatCode="#,##0\ \m\i\l\i\t\i\a"/>
    <numFmt numFmtId="179" formatCode="\R\a\t\i\o\ 0%"/>
    <numFmt numFmtId="180" formatCode="#,##0\b"/>
    <numFmt numFmtId="181" formatCode="\x#,##0"/>
    <numFmt numFmtId="182" formatCode="0.0"/>
  </numFmts>
  <fonts count="8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20"/>
      <color theme="1"/>
      <name val="Abadi MT Condensed Extra Bold"/>
    </font>
    <font>
      <sz val="12"/>
      <color theme="3" tint="-0.499984740745262"/>
      <name val="Abadi MT Condensed Extra Bold"/>
    </font>
    <font>
      <i/>
      <sz val="10"/>
      <color theme="0" tint="-0.14999847407452621"/>
      <name val="Calibri"/>
      <scheme val="minor"/>
    </font>
    <font>
      <i/>
      <sz val="10"/>
      <color theme="0" tint="-0.249977111117893"/>
      <name val="Calibri"/>
      <scheme val="minor"/>
    </font>
    <font>
      <sz val="14"/>
      <color theme="1"/>
      <name val="Abadi MT Condensed Extra Bold"/>
    </font>
    <font>
      <sz val="14"/>
      <color theme="9" tint="-0.499984740745262"/>
      <name val="Abadi MT Condensed Extra Bold"/>
    </font>
    <font>
      <sz val="20"/>
      <color theme="5" tint="-0.499984740745262"/>
      <name val="Abadi MT Condensed Extra Bold"/>
    </font>
    <font>
      <sz val="14"/>
      <color theme="6" tint="-0.499984740745262"/>
      <name val="Abadi MT Condensed Extra Bold"/>
    </font>
    <font>
      <b/>
      <sz val="12"/>
      <color theme="9" tint="-0.249977111117893"/>
      <name val="Calibri"/>
      <scheme val="minor"/>
    </font>
    <font>
      <b/>
      <sz val="12"/>
      <color theme="6" tint="-0.249977111117893"/>
      <name val="Calibri"/>
      <scheme val="minor"/>
    </font>
    <font>
      <sz val="14"/>
      <color theme="8" tint="-0.499984740745262"/>
      <name val="Abadi MT Condensed Extra Bold"/>
    </font>
    <font>
      <b/>
      <sz val="12"/>
      <color theme="8" tint="-0.249977111117893"/>
      <name val="Calibri"/>
      <scheme val="minor"/>
    </font>
    <font>
      <sz val="10"/>
      <color theme="1" tint="0.14999847407452621"/>
      <name val="Calibri"/>
      <scheme val="minor"/>
    </font>
    <font>
      <i/>
      <sz val="8"/>
      <color theme="1"/>
      <name val="Calibri"/>
      <scheme val="minor"/>
    </font>
    <font>
      <b/>
      <sz val="24"/>
      <color indexed="21"/>
      <name val="Verdana"/>
    </font>
    <font>
      <b/>
      <sz val="20"/>
      <color theme="1"/>
      <name val="Calibri"/>
      <scheme val="minor"/>
    </font>
    <font>
      <sz val="12"/>
      <color theme="0"/>
      <name val="Calibri"/>
      <family val="2"/>
      <scheme val="minor"/>
    </font>
    <font>
      <b/>
      <sz val="20"/>
      <color rgb="FF660066"/>
      <name val="Calibri"/>
      <scheme val="minor"/>
    </font>
    <font>
      <b/>
      <sz val="9"/>
      <color indexed="81"/>
      <name val="Calibri"/>
      <family val="2"/>
    </font>
    <font>
      <b/>
      <i/>
      <sz val="12"/>
      <color theme="1"/>
      <name val="Calibri"/>
      <scheme val="minor"/>
    </font>
    <font>
      <sz val="12"/>
      <color theme="1"/>
      <name val="Abadi MT Condensed Extra Bold"/>
    </font>
    <font>
      <sz val="14"/>
      <color rgb="FF000000"/>
      <name val="Abadi MT Condensed Extra Bold"/>
    </font>
    <font>
      <b/>
      <sz val="20"/>
      <color theme="9" tint="-0.499984740745262"/>
      <name val="Calibri"/>
      <scheme val="minor"/>
    </font>
    <font>
      <b/>
      <sz val="12"/>
      <color theme="1"/>
      <name val="Abadi MT Condensed Extra Bold"/>
    </font>
    <font>
      <i/>
      <sz val="10"/>
      <color theme="1"/>
      <name val="Calibri"/>
      <scheme val="minor"/>
    </font>
    <font>
      <i/>
      <sz val="8"/>
      <name val="Verdana"/>
    </font>
    <font>
      <sz val="12"/>
      <color theme="2" tint="-0.499984740745262"/>
      <name val="Abadi MT Condensed Extra Bold"/>
    </font>
    <font>
      <i/>
      <sz val="9"/>
      <color theme="1"/>
      <name val="Calibri"/>
      <scheme val="minor"/>
    </font>
    <font>
      <i/>
      <sz val="12"/>
      <color rgb="FFFF0000"/>
      <name val="Calibri"/>
      <scheme val="minor"/>
    </font>
    <font>
      <b/>
      <sz val="14"/>
      <color indexed="21"/>
      <name val="Verdana"/>
    </font>
    <font>
      <b/>
      <i/>
      <sz val="8"/>
      <color theme="4" tint="-0.249977111117893"/>
      <name val="Verdana"/>
    </font>
    <font>
      <b/>
      <i/>
      <sz val="10"/>
      <color indexed="62"/>
      <name val="Verdana"/>
    </font>
    <font>
      <b/>
      <sz val="14"/>
      <color indexed="12"/>
      <name val="Verdana"/>
    </font>
    <font>
      <b/>
      <i/>
      <sz val="8"/>
      <color theme="0" tint="-0.499984740745262"/>
      <name val="Verdana"/>
    </font>
    <font>
      <b/>
      <i/>
      <sz val="8"/>
      <color rgb="FF808080"/>
      <name val="Verdana"/>
    </font>
    <font>
      <b/>
      <sz val="12"/>
      <color rgb="FF660066"/>
      <name val="Calibri"/>
      <scheme val="minor"/>
    </font>
    <font>
      <i/>
      <sz val="9"/>
      <color theme="0"/>
      <name val="Calibri"/>
      <scheme val="minor"/>
    </font>
    <font>
      <b/>
      <i/>
      <sz val="12"/>
      <color theme="6" tint="-0.249977111117893"/>
      <name val="Calibri"/>
      <scheme val="minor"/>
    </font>
    <font>
      <b/>
      <sz val="12"/>
      <color rgb="FF000000"/>
      <name val="Calibri"/>
      <family val="2"/>
      <scheme val="minor"/>
    </font>
    <font>
      <i/>
      <sz val="8"/>
      <color indexed="62"/>
      <name val="Verdana"/>
    </font>
    <font>
      <i/>
      <sz val="12"/>
      <color theme="0" tint="-0.14999847407452621"/>
      <name val="Calibri"/>
      <scheme val="minor"/>
    </font>
    <font>
      <i/>
      <sz val="9"/>
      <color rgb="FF000000"/>
      <name val="Calibri"/>
      <scheme val="minor"/>
    </font>
    <font>
      <b/>
      <sz val="18"/>
      <color theme="1"/>
      <name val="Papyrus"/>
    </font>
    <font>
      <i/>
      <sz val="12"/>
      <color theme="0" tint="-0.499984740745262"/>
      <name val="Calibri"/>
      <scheme val="minor"/>
    </font>
    <font>
      <b/>
      <sz val="12"/>
      <color theme="8"/>
      <name val="Calibri"/>
      <scheme val="minor"/>
    </font>
    <font>
      <b/>
      <sz val="12"/>
      <color theme="9"/>
      <name val="Calibri"/>
      <scheme val="minor"/>
    </font>
    <font>
      <sz val="12"/>
      <name val="Calibri"/>
      <scheme val="minor"/>
    </font>
    <font>
      <i/>
      <sz val="12"/>
      <color theme="4"/>
      <name val="Calibri"/>
      <scheme val="minor"/>
    </font>
    <font>
      <sz val="12"/>
      <color theme="2" tint="-0.499984740745262"/>
      <name val="Calibri"/>
      <scheme val="minor"/>
    </font>
    <font>
      <b/>
      <i/>
      <sz val="12"/>
      <color theme="0" tint="-0.499984740745262"/>
      <name val="Calibri"/>
      <scheme val="minor"/>
    </font>
    <font>
      <b/>
      <sz val="12"/>
      <color theme="2" tint="-0.499984740745262"/>
      <name val="Calibri"/>
      <scheme val="minor"/>
    </font>
    <font>
      <i/>
      <sz val="10"/>
      <color theme="0" tint="-0.499984740745262"/>
      <name val="Calibri"/>
      <scheme val="minor"/>
    </font>
    <font>
      <sz val="12"/>
      <color theme="0" tint="-0.14999847407452621"/>
      <name val="Calibri"/>
      <scheme val="minor"/>
    </font>
    <font>
      <b/>
      <sz val="12"/>
      <color theme="0" tint="-0.14999847407452621"/>
      <name val="Calibri"/>
      <scheme val="minor"/>
    </font>
    <font>
      <i/>
      <sz val="12"/>
      <color theme="1"/>
      <name val="Calibri"/>
      <scheme val="minor"/>
    </font>
    <font>
      <b/>
      <sz val="12"/>
      <color theme="5" tint="0.79998168889431442"/>
      <name val="Calibri"/>
      <scheme val="minor"/>
    </font>
    <font>
      <b/>
      <sz val="12"/>
      <color theme="6" tint="0.79998168889431442"/>
      <name val="Calibri"/>
      <scheme val="minor"/>
    </font>
    <font>
      <b/>
      <sz val="14"/>
      <color theme="1"/>
      <name val="Calibri"/>
      <scheme val="minor"/>
    </font>
    <font>
      <b/>
      <sz val="12"/>
      <color theme="6" tint="0.39997558519241921"/>
      <name val="Calibri"/>
      <scheme val="minor"/>
    </font>
    <font>
      <b/>
      <sz val="12"/>
      <color theme="5" tint="0.39997558519241921"/>
      <name val="Calibri"/>
      <scheme val="minor"/>
    </font>
    <font>
      <b/>
      <sz val="12"/>
      <name val="Calibri"/>
      <scheme val="minor"/>
    </font>
    <font>
      <sz val="20"/>
      <color rgb="FF000000"/>
      <name val="Abadi MT Condensed Extra Bold"/>
    </font>
    <font>
      <sz val="12"/>
      <color rgb="FF000000"/>
      <name val="Calibri"/>
      <family val="2"/>
      <scheme val="minor"/>
    </font>
    <font>
      <i/>
      <sz val="9"/>
      <color theme="0" tint="-0.249977111117893"/>
      <name val="Calibri"/>
      <scheme val="minor"/>
    </font>
    <font>
      <sz val="9"/>
      <color indexed="81"/>
      <name val="Calibri"/>
      <family val="2"/>
    </font>
    <font>
      <b/>
      <sz val="10"/>
      <color theme="2" tint="-0.499984740745262"/>
      <name val="Calibri"/>
      <scheme val="minor"/>
    </font>
    <font>
      <sz val="10"/>
      <color theme="2" tint="-0.499984740745262"/>
      <name val="Calibri"/>
      <scheme val="minor"/>
    </font>
    <font>
      <b/>
      <i/>
      <sz val="12"/>
      <color theme="9" tint="-0.249977111117893"/>
      <name val="Calibri"/>
      <scheme val="minor"/>
    </font>
    <font>
      <i/>
      <sz val="10"/>
      <color theme="2" tint="-0.499984740745262"/>
      <name val="Calibri"/>
      <scheme val="minor"/>
    </font>
    <font>
      <b/>
      <i/>
      <sz val="10"/>
      <color theme="2" tint="-0.499984740745262"/>
      <name val="Calibri"/>
      <scheme val="minor"/>
    </font>
    <font>
      <b/>
      <sz val="12"/>
      <color theme="6" tint="-0.499984740745262"/>
      <name val="Calibri"/>
      <scheme val="minor"/>
    </font>
    <font>
      <b/>
      <sz val="12"/>
      <color theme="0" tint="-0.249977111117893"/>
      <name val="Calibri"/>
      <scheme val="minor"/>
    </font>
    <font>
      <sz val="12"/>
      <color theme="0" tint="-0.249977111117893"/>
      <name val="Calibri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BF1DE"/>
        <bgColor rgb="FF000000"/>
      </patternFill>
    </fill>
    <fill>
      <patternFill patternType="solid">
        <fgColor rgb="FFE6E6E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-0.249977111117893"/>
        <bgColor indexed="65"/>
      </patternFill>
    </fill>
    <fill>
      <patternFill patternType="solid">
        <fgColor theme="6" tint="-0.499984740745262"/>
        <bgColor indexed="65"/>
      </patternFill>
    </fill>
    <fill>
      <patternFill patternType="solid">
        <fgColor rgb="FFFFFF00"/>
      </patternFill>
    </fill>
    <fill>
      <patternFill patternType="solid">
        <fgColor theme="5" tint="-0.249977111117893"/>
        <bgColor indexed="65"/>
      </patternFill>
    </fill>
    <fill>
      <patternFill patternType="solid">
        <fgColor theme="5" tint="-0.499984740745262"/>
        <bgColor indexed="65"/>
      </patternFill>
    </fill>
    <fill>
      <patternFill patternType="solid">
        <fgColor rgb="FFFF0000"/>
      </patternFill>
    </fill>
    <fill>
      <patternFill patternType="solid">
        <fgColor rgb="FFE6E6E6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hair">
        <color theme="0" tint="-4.9989318521683403E-2"/>
      </bottom>
      <diagonal/>
    </border>
    <border>
      <left style="hair">
        <color theme="0" tint="-0.14999847407452621"/>
      </left>
      <right/>
      <top style="hair">
        <color theme="0" tint="-0.14999847407452621"/>
      </top>
      <bottom/>
      <diagonal/>
    </border>
    <border>
      <left/>
      <right/>
      <top style="hair">
        <color theme="0" tint="-0.14999847407452621"/>
      </top>
      <bottom/>
      <diagonal/>
    </border>
    <border>
      <left/>
      <right style="hair">
        <color theme="0" tint="-0.14999847407452621"/>
      </right>
      <top style="hair">
        <color theme="0" tint="-0.14999847407452621"/>
      </top>
      <bottom/>
      <diagonal/>
    </border>
    <border>
      <left style="hair">
        <color theme="0" tint="-0.14999847407452621"/>
      </left>
      <right/>
      <top/>
      <bottom/>
      <diagonal/>
    </border>
    <border>
      <left/>
      <right style="hair">
        <color theme="0" tint="-0.14999847407452621"/>
      </right>
      <top/>
      <bottom/>
      <diagonal/>
    </border>
    <border>
      <left style="hair">
        <color theme="0" tint="-0.14999847407452621"/>
      </left>
      <right/>
      <top/>
      <bottom style="hair">
        <color theme="0" tint="-0.14999847407452621"/>
      </bottom>
      <diagonal/>
    </border>
    <border>
      <left/>
      <right/>
      <top/>
      <bottom style="hair">
        <color theme="0" tint="-0.14999847407452621"/>
      </bottom>
      <diagonal/>
    </border>
    <border>
      <left/>
      <right style="hair">
        <color theme="0" tint="-0.14999847407452621"/>
      </right>
      <top/>
      <bottom style="hair">
        <color theme="0" tint="-0.14999847407452621"/>
      </bottom>
      <diagonal/>
    </border>
    <border>
      <left style="hair">
        <color theme="0" tint="-0.249977111117893"/>
      </left>
      <right/>
      <top style="hair">
        <color theme="0" tint="-0.249977111117893"/>
      </top>
      <bottom/>
      <diagonal/>
    </border>
    <border>
      <left/>
      <right/>
      <top style="hair">
        <color theme="0" tint="-0.249977111117893"/>
      </top>
      <bottom/>
      <diagonal/>
    </border>
    <border>
      <left/>
      <right style="hair">
        <color theme="0" tint="-0.249977111117893"/>
      </right>
      <top style="hair">
        <color theme="0" tint="-0.249977111117893"/>
      </top>
      <bottom/>
      <diagonal/>
    </border>
    <border>
      <left style="hair">
        <color theme="0" tint="-0.249977111117893"/>
      </left>
      <right/>
      <top/>
      <bottom/>
      <diagonal/>
    </border>
    <border>
      <left/>
      <right style="hair">
        <color theme="0" tint="-0.249977111117893"/>
      </right>
      <top/>
      <bottom/>
      <diagonal/>
    </border>
    <border>
      <left style="hair">
        <color theme="0" tint="-0.249977111117893"/>
      </left>
      <right/>
      <top/>
      <bottom style="hair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 tint="-0.249977111117893"/>
      </left>
      <right/>
      <top/>
      <bottom style="hair">
        <color theme="0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 tint="-0.249977111117893"/>
      </left>
      <right style="hair">
        <color theme="0"/>
      </right>
      <top style="hair">
        <color theme="0"/>
      </top>
      <bottom style="hair">
        <color theme="0" tint="-0.249977111117893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 tint="-0.249977111117893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theme="0"/>
      </bottom>
      <diagonal/>
    </border>
    <border>
      <left style="hair">
        <color rgb="FFBFBFBF"/>
      </left>
      <right/>
      <top/>
      <bottom/>
      <diagonal/>
    </border>
    <border>
      <left/>
      <right style="hair">
        <color rgb="FFBFBFBF"/>
      </right>
      <top/>
      <bottom/>
      <diagonal/>
    </border>
    <border>
      <left style="hair">
        <color rgb="FFBFBFBF"/>
      </left>
      <right/>
      <top/>
      <bottom style="hair">
        <color rgb="FFBFBFBF"/>
      </bottom>
      <diagonal/>
    </border>
    <border>
      <left/>
      <right/>
      <top/>
      <bottom style="hair">
        <color rgb="FFBFBFBF"/>
      </bottom>
      <diagonal/>
    </border>
    <border>
      <left/>
      <right style="hair">
        <color rgb="FFBFBFBF"/>
      </right>
      <top/>
      <bottom style="hair">
        <color rgb="FFBFBFBF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theme="0"/>
      </right>
      <top/>
      <bottom style="hair">
        <color theme="0"/>
      </bottom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 style="hair">
        <color theme="0"/>
      </left>
      <right/>
      <top/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/>
      <top style="hair">
        <color theme="0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hair">
        <color theme="2" tint="-9.9978637043366805E-2"/>
      </left>
      <right style="hair">
        <color theme="2" tint="-9.9978637043366805E-2"/>
      </right>
      <top style="hair">
        <color theme="2" tint="-9.9978637043366805E-2"/>
      </top>
      <bottom style="hair">
        <color theme="2" tint="-9.9978637043366805E-2"/>
      </bottom>
      <diagonal/>
    </border>
    <border>
      <left/>
      <right/>
      <top style="medium">
        <color auto="1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</borders>
  <cellStyleXfs count="1286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3" fontId="8" fillId="2" borderId="18">
      <alignment horizontal="center" vertical="center"/>
      <protection locked="0"/>
    </xf>
    <xf numFmtId="164" fontId="9" fillId="0" borderId="0">
      <alignment horizontal="center"/>
    </xf>
    <xf numFmtId="0" fontId="10" fillId="0" borderId="0">
      <alignment horizontal="center" vertical="center"/>
    </xf>
    <xf numFmtId="165" fontId="11" fillId="0" borderId="0">
      <alignment horizontal="center"/>
    </xf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6" fontId="15" fillId="0" borderId="0"/>
    <xf numFmtId="3" fontId="16" fillId="0" borderId="0"/>
    <xf numFmtId="3" fontId="18" fillId="0" borderId="0"/>
    <xf numFmtId="167" fontId="19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3" fontId="4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8" fontId="4" fillId="0" borderId="0">
      <alignment horizontal="center"/>
    </xf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0" fontId="8" fillId="2" borderId="1">
      <alignment horizontal="center"/>
    </xf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8" fontId="8" fillId="2" borderId="18">
      <alignment horizontal="center" vertical="center"/>
      <protection locked="0"/>
    </xf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6" fontId="38" fillId="0" borderId="0"/>
    <xf numFmtId="9" fontId="39" fillId="4" borderId="26">
      <alignment horizontal="center"/>
      <protection locked="0"/>
    </xf>
    <xf numFmtId="171" fontId="32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72" fontId="46" fillId="0" borderId="0">
      <alignment horizontal="center"/>
    </xf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72" fontId="46" fillId="0" borderId="0">
      <alignment horizontal="center" vertical="center"/>
    </xf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75" fontId="51" fillId="0" borderId="0"/>
    <xf numFmtId="176" fontId="52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11" borderId="0">
      <alignment horizontal="center"/>
    </xf>
    <xf numFmtId="0" fontId="65" fillId="15" borderId="0">
      <alignment horizontal="center"/>
    </xf>
    <xf numFmtId="0" fontId="63" fillId="14" borderId="0">
      <alignment horizontal="center"/>
    </xf>
    <xf numFmtId="0" fontId="4" fillId="10" borderId="0">
      <alignment horizontal="center"/>
    </xf>
    <xf numFmtId="0" fontId="4" fillId="13" borderId="0">
      <alignment horizontal="center"/>
    </xf>
    <xf numFmtId="0" fontId="4" fillId="16" borderId="0">
      <alignment horizontal="center"/>
    </xf>
    <xf numFmtId="0" fontId="4" fillId="12" borderId="0">
      <alignment horizontal="center"/>
    </xf>
    <xf numFmtId="0" fontId="62" fillId="17" borderId="0">
      <alignment horizontal="center"/>
    </xf>
    <xf numFmtId="0" fontId="66" fillId="18" borderId="0">
      <alignment horizontal="center"/>
    </xf>
    <xf numFmtId="0" fontId="67" fillId="19" borderId="0">
      <alignment horizontal="center"/>
    </xf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33">
    <xf numFmtId="0" fontId="0" fillId="0" borderId="0" xfId="0"/>
    <xf numFmtId="0" fontId="7" fillId="0" borderId="0" xfId="0" applyFont="1"/>
    <xf numFmtId="0" fontId="7" fillId="0" borderId="0" xfId="63"/>
    <xf numFmtId="0" fontId="4" fillId="0" borderId="0" xfId="0" applyFont="1"/>
    <xf numFmtId="3" fontId="8" fillId="2" borderId="18" xfId="66">
      <alignment horizontal="center" vertical="center"/>
      <protection locked="0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9" fillId="0" borderId="0" xfId="67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68">
      <alignment horizontal="center" vertical="center"/>
    </xf>
    <xf numFmtId="165" fontId="11" fillId="0" borderId="0" xfId="0" applyNumberFormat="1" applyFont="1" applyAlignment="1">
      <alignment horizontal="center"/>
    </xf>
    <xf numFmtId="165" fontId="11" fillId="0" borderId="0" xfId="69">
      <alignment horizontal="center"/>
    </xf>
    <xf numFmtId="166" fontId="12" fillId="0" borderId="0" xfId="0" applyNumberFormat="1" applyFont="1" applyAlignment="1">
      <alignment horizontal="center"/>
    </xf>
    <xf numFmtId="0" fontId="13" fillId="0" borderId="0" xfId="0" applyFont="1"/>
    <xf numFmtId="3" fontId="14" fillId="0" borderId="0" xfId="0" applyNumberFormat="1" applyFont="1" applyAlignment="1">
      <alignment horizontal="center"/>
    </xf>
    <xf numFmtId="166" fontId="15" fillId="0" borderId="0" xfId="0" applyNumberFormat="1" applyFont="1"/>
    <xf numFmtId="166" fontId="15" fillId="0" borderId="0" xfId="72"/>
    <xf numFmtId="3" fontId="16" fillId="0" borderId="0" xfId="0" applyNumberFormat="1" applyFont="1"/>
    <xf numFmtId="3" fontId="16" fillId="0" borderId="0" xfId="73"/>
    <xf numFmtId="0" fontId="17" fillId="0" borderId="0" xfId="0" applyFont="1" applyAlignment="1">
      <alignment horizontal="center"/>
    </xf>
    <xf numFmtId="3" fontId="18" fillId="0" borderId="0" xfId="74"/>
    <xf numFmtId="167" fontId="19" fillId="0" borderId="0" xfId="75"/>
    <xf numFmtId="168" fontId="0" fillId="0" borderId="0" xfId="0" applyNumberFormat="1" applyAlignment="1">
      <alignment horizontal="center"/>
    </xf>
    <xf numFmtId="0" fontId="20" fillId="0" borderId="0" xfId="0" applyFont="1"/>
    <xf numFmtId="0" fontId="21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166" fontId="15" fillId="0" borderId="0" xfId="72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5" xfId="0" applyBorder="1"/>
    <xf numFmtId="0" fontId="11" fillId="0" borderId="5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66" fontId="15" fillId="0" borderId="5" xfId="72" applyBorder="1" applyAlignment="1">
      <alignment horizontal="center"/>
    </xf>
    <xf numFmtId="166" fontId="15" fillId="0" borderId="6" xfId="72" applyBorder="1" applyAlignment="1">
      <alignment horizontal="center"/>
    </xf>
    <xf numFmtId="3" fontId="16" fillId="0" borderId="0" xfId="73" applyAlignment="1">
      <alignment horizontal="center"/>
    </xf>
    <xf numFmtId="3" fontId="18" fillId="0" borderId="0" xfId="74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3" fontId="4" fillId="0" borderId="14" xfId="164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168" fontId="4" fillId="0" borderId="0" xfId="219">
      <alignment horizontal="center"/>
    </xf>
    <xf numFmtId="168" fontId="4" fillId="0" borderId="0" xfId="219" applyFill="1">
      <alignment horizontal="center"/>
    </xf>
    <xf numFmtId="3" fontId="0" fillId="0" borderId="0" xfId="0" applyNumberFormat="1"/>
    <xf numFmtId="3" fontId="4" fillId="0" borderId="0" xfId="164" applyAlignment="1">
      <alignment horizontal="center"/>
    </xf>
    <xf numFmtId="3" fontId="10" fillId="0" borderId="0" xfId="68" applyNumberFormat="1">
      <alignment horizontal="center" vertical="center"/>
    </xf>
    <xf numFmtId="3" fontId="24" fillId="0" borderId="0" xfId="164" applyFont="1" applyAlignment="1">
      <alignment horizontal="center"/>
    </xf>
    <xf numFmtId="3" fontId="23" fillId="0" borderId="0" xfId="0" applyNumberFormat="1" applyFont="1"/>
    <xf numFmtId="168" fontId="8" fillId="2" borderId="18" xfId="66" applyNumberFormat="1">
      <alignment horizontal="center" vertical="center"/>
      <protection locked="0"/>
    </xf>
    <xf numFmtId="168" fontId="8" fillId="2" borderId="18" xfId="333">
      <alignment horizontal="center" vertical="center"/>
      <protection locked="0"/>
    </xf>
    <xf numFmtId="3" fontId="16" fillId="0" borderId="0" xfId="0" applyNumberFormat="1" applyFont="1" applyAlignment="1">
      <alignment horizontal="center"/>
    </xf>
    <xf numFmtId="169" fontId="8" fillId="2" borderId="18" xfId="333" applyNumberFormat="1">
      <alignment horizontal="center" vertical="center"/>
      <protection locked="0"/>
    </xf>
    <xf numFmtId="3" fontId="17" fillId="0" borderId="0" xfId="0" applyNumberFormat="1" applyFont="1" applyAlignment="1">
      <alignment horizontal="center"/>
    </xf>
    <xf numFmtId="0" fontId="11" fillId="0" borderId="19" xfId="0" applyFont="1" applyBorder="1" applyAlignment="1">
      <alignment horizontal="center"/>
    </xf>
    <xf numFmtId="3" fontId="8" fillId="2" borderId="21" xfId="66" applyBorder="1" applyAlignment="1">
      <alignment horizontal="center"/>
      <protection locked="0"/>
    </xf>
    <xf numFmtId="3" fontId="24" fillId="0" borderId="20" xfId="164" applyFont="1" applyBorder="1" applyAlignment="1">
      <alignment horizontal="center"/>
    </xf>
    <xf numFmtId="0" fontId="26" fillId="0" borderId="0" xfId="0" applyFont="1"/>
    <xf numFmtId="0" fontId="11" fillId="0" borderId="0" xfId="0" applyFont="1" applyFill="1" applyBorder="1" applyAlignment="1">
      <alignment horizontal="center"/>
    </xf>
    <xf numFmtId="3" fontId="16" fillId="0" borderId="13" xfId="73" applyBorder="1" applyAlignment="1">
      <alignment horizontal="center"/>
    </xf>
    <xf numFmtId="3" fontId="18" fillId="0" borderId="0" xfId="74" applyBorder="1" applyAlignment="1">
      <alignment horizontal="center"/>
    </xf>
    <xf numFmtId="3" fontId="8" fillId="2" borderId="21" xfId="66" applyBorder="1">
      <alignment horizontal="center" vertical="center"/>
      <protection locked="0"/>
    </xf>
    <xf numFmtId="0" fontId="11" fillId="0" borderId="14" xfId="0" applyFont="1" applyBorder="1" applyAlignment="1">
      <alignment horizontal="left"/>
    </xf>
    <xf numFmtId="0" fontId="11" fillId="0" borderId="13" xfId="0" applyFont="1" applyBorder="1" applyAlignment="1">
      <alignment horizontal="center"/>
    </xf>
    <xf numFmtId="3" fontId="4" fillId="0" borderId="0" xfId="164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3" fontId="8" fillId="2" borderId="22" xfId="66" applyBorder="1">
      <alignment horizontal="center" vertical="center"/>
      <protection locked="0"/>
    </xf>
    <xf numFmtId="3" fontId="8" fillId="2" borderId="23" xfId="66" applyBorder="1">
      <alignment horizontal="center" vertical="center"/>
      <protection locked="0"/>
    </xf>
    <xf numFmtId="3" fontId="16" fillId="0" borderId="16" xfId="73" applyBorder="1" applyAlignment="1">
      <alignment horizontal="center"/>
    </xf>
    <xf numFmtId="166" fontId="15" fillId="0" borderId="17" xfId="72" applyBorder="1" applyAlignment="1">
      <alignment horizontal="center"/>
    </xf>
    <xf numFmtId="3" fontId="8" fillId="2" borderId="18" xfId="66" applyAlignment="1">
      <alignment horizontal="center" vertical="center"/>
      <protection locked="0"/>
    </xf>
    <xf numFmtId="0" fontId="23" fillId="0" borderId="14" xfId="0" applyFont="1" applyBorder="1"/>
    <xf numFmtId="0" fontId="11" fillId="0" borderId="10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3" fontId="4" fillId="0" borderId="13" xfId="164" applyBorder="1" applyAlignment="1">
      <alignment horizontal="center"/>
    </xf>
    <xf numFmtId="166" fontId="8" fillId="2" borderId="18" xfId="66" applyNumberFormat="1">
      <alignment horizontal="center" vertical="center"/>
      <protection locked="0"/>
    </xf>
    <xf numFmtId="0" fontId="0" fillId="0" borderId="0" xfId="0" quotePrefix="1" applyProtection="1">
      <protection locked="0"/>
    </xf>
    <xf numFmtId="0" fontId="30" fillId="0" borderId="6" xfId="0" applyFont="1" applyBorder="1" applyAlignment="1">
      <alignment horizontal="center"/>
    </xf>
    <xf numFmtId="166" fontId="15" fillId="0" borderId="14" xfId="72" applyBorder="1" applyAlignment="1">
      <alignment horizontal="center"/>
    </xf>
    <xf numFmtId="0" fontId="27" fillId="0" borderId="14" xfId="0" applyFont="1" applyBorder="1" applyAlignment="1">
      <alignment horizontal="center"/>
    </xf>
    <xf numFmtId="170" fontId="31" fillId="0" borderId="14" xfId="0" applyNumberFormat="1" applyFont="1" applyBorder="1" applyAlignment="1">
      <alignment horizontal="center"/>
    </xf>
    <xf numFmtId="0" fontId="0" fillId="0" borderId="0" xfId="0" applyAlignment="1">
      <alignment vertical="center" wrapText="1"/>
    </xf>
    <xf numFmtId="0" fontId="27" fillId="0" borderId="10" xfId="0" applyFont="1" applyBorder="1" applyAlignment="1">
      <alignment horizontal="center"/>
    </xf>
    <xf numFmtId="165" fontId="33" fillId="0" borderId="13" xfId="69" applyFont="1" applyBorder="1">
      <alignment horizontal="center"/>
    </xf>
    <xf numFmtId="0" fontId="27" fillId="0" borderId="13" xfId="0" applyFont="1" applyBorder="1" applyAlignment="1">
      <alignment horizontal="center"/>
    </xf>
    <xf numFmtId="0" fontId="4" fillId="0" borderId="13" xfId="0" applyFont="1" applyBorder="1"/>
    <xf numFmtId="0" fontId="36" fillId="0" borderId="0" xfId="0" applyFont="1"/>
    <xf numFmtId="0" fontId="4" fillId="0" borderId="0" xfId="0" applyFont="1" applyAlignment="1">
      <alignment horizontal="center"/>
    </xf>
    <xf numFmtId="0" fontId="43" fillId="0" borderId="0" xfId="0" applyFont="1"/>
    <xf numFmtId="10" fontId="8" fillId="2" borderId="1" xfId="284" applyProtection="1">
      <alignment horizontal="center"/>
      <protection locked="0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3" fontId="44" fillId="0" borderId="0" xfId="73" applyFont="1" applyAlignment="1">
      <alignment horizontal="center"/>
    </xf>
    <xf numFmtId="166" fontId="38" fillId="0" borderId="0" xfId="502" applyAlignment="1">
      <alignment horizontal="right"/>
    </xf>
    <xf numFmtId="0" fontId="36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3" fontId="4" fillId="0" borderId="0" xfId="164" applyAlignment="1">
      <alignment vertical="center"/>
    </xf>
    <xf numFmtId="3" fontId="37" fillId="0" borderId="24" xfId="164" applyFont="1" applyBorder="1" applyAlignment="1" applyProtection="1">
      <alignment vertical="center"/>
      <protection locked="0"/>
    </xf>
    <xf numFmtId="3" fontId="37" fillId="0" borderId="0" xfId="164" applyFont="1" applyBorder="1" applyAlignment="1" applyProtection="1">
      <alignment vertical="center"/>
      <protection locked="0"/>
    </xf>
    <xf numFmtId="0" fontId="0" fillId="0" borderId="25" xfId="0" applyBorder="1" applyAlignment="1">
      <alignment vertical="center"/>
    </xf>
    <xf numFmtId="0" fontId="4" fillId="0" borderId="0" xfId="0" applyFont="1" applyAlignment="1">
      <alignment horizontal="center" vertical="center"/>
    </xf>
    <xf numFmtId="166" fontId="15" fillId="0" borderId="0" xfId="72" applyAlignment="1">
      <alignment horizontal="center" vertical="center"/>
    </xf>
    <xf numFmtId="0" fontId="47" fillId="0" borderId="0" xfId="0" applyFont="1" applyAlignment="1">
      <alignment vertical="center"/>
    </xf>
    <xf numFmtId="3" fontId="4" fillId="0" borderId="0" xfId="164" applyAlignment="1">
      <alignment horizontal="center" vertical="center"/>
    </xf>
    <xf numFmtId="3" fontId="16" fillId="0" borderId="0" xfId="73" applyAlignment="1">
      <alignment horizontal="center" vertical="center"/>
    </xf>
    <xf numFmtId="0" fontId="47" fillId="0" borderId="0" xfId="0" quotePrefix="1" applyFont="1" applyAlignment="1">
      <alignment vertical="center"/>
    </xf>
    <xf numFmtId="3" fontId="0" fillId="0" borderId="0" xfId="0" applyNumberFormat="1" applyAlignment="1">
      <alignment horizontal="center" vertical="center"/>
    </xf>
    <xf numFmtId="0" fontId="16" fillId="0" borderId="0" xfId="73" applyNumberFormat="1" applyAlignment="1">
      <alignment horizontal="center" vertical="center"/>
    </xf>
    <xf numFmtId="3" fontId="40" fillId="0" borderId="0" xfId="164" applyFont="1" applyAlignment="1">
      <alignment vertical="center"/>
    </xf>
    <xf numFmtId="0" fontId="36" fillId="0" borderId="0" xfId="0" applyFont="1" applyAlignment="1">
      <alignment horizontal="center" vertical="center"/>
    </xf>
    <xf numFmtId="168" fontId="44" fillId="0" borderId="0" xfId="73" applyNumberFormat="1" applyFont="1" applyAlignment="1">
      <alignment horizontal="center" vertical="center"/>
    </xf>
    <xf numFmtId="166" fontId="38" fillId="0" borderId="0" xfId="502" applyAlignment="1">
      <alignment vertical="center"/>
    </xf>
    <xf numFmtId="3" fontId="20" fillId="0" borderId="25" xfId="0" applyNumberFormat="1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3" fontId="42" fillId="0" borderId="0" xfId="219" applyNumberFormat="1" applyFont="1" applyAlignment="1">
      <alignment horizontal="center" vertical="center"/>
    </xf>
    <xf numFmtId="3" fontId="42" fillId="0" borderId="0" xfId="0" applyNumberFormat="1" applyFont="1" applyAlignment="1">
      <alignment horizontal="center" vertical="center"/>
    </xf>
    <xf numFmtId="3" fontId="41" fillId="0" borderId="0" xfId="0" applyNumberFormat="1" applyFont="1" applyAlignment="1">
      <alignment horizontal="center" vertical="center"/>
    </xf>
    <xf numFmtId="0" fontId="0" fillId="0" borderId="0" xfId="0" applyAlignment="1">
      <alignment horizontal="right" vertical="center"/>
    </xf>
    <xf numFmtId="166" fontId="15" fillId="0" borderId="0" xfId="72" applyAlignment="1">
      <alignment vertical="center"/>
    </xf>
    <xf numFmtId="172" fontId="46" fillId="0" borderId="0" xfId="502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9" fontId="32" fillId="0" borderId="0" xfId="504" applyNumberFormat="1" applyAlignment="1">
      <alignment horizontal="center"/>
    </xf>
    <xf numFmtId="0" fontId="8" fillId="2" borderId="18" xfId="333" applyNumberFormat="1">
      <alignment horizontal="center" vertical="center"/>
      <protection locked="0"/>
    </xf>
    <xf numFmtId="0" fontId="0" fillId="0" borderId="0" xfId="0" quotePrefix="1"/>
    <xf numFmtId="169" fontId="23" fillId="0" borderId="0" xfId="0" applyNumberFormat="1" applyFont="1"/>
    <xf numFmtId="0" fontId="0" fillId="0" borderId="0" xfId="0" applyProtection="1">
      <protection locked="0"/>
    </xf>
    <xf numFmtId="172" fontId="46" fillId="0" borderId="0" xfId="812">
      <alignment horizontal="center" vertical="center"/>
    </xf>
    <xf numFmtId="0" fontId="0" fillId="0" borderId="0" xfId="0" applyAlignment="1">
      <alignment horizontal="left"/>
    </xf>
    <xf numFmtId="0" fontId="11" fillId="0" borderId="27" xfId="0" applyFont="1" applyBorder="1" applyAlignment="1">
      <alignment horizontal="center"/>
    </xf>
    <xf numFmtId="174" fontId="34" fillId="0" borderId="0" xfId="0" applyNumberFormat="1" applyFont="1" applyAlignment="1">
      <alignment horizontal="center" vertical="top"/>
    </xf>
    <xf numFmtId="0" fontId="49" fillId="0" borderId="0" xfId="0" applyFont="1"/>
    <xf numFmtId="3" fontId="0" fillId="0" borderId="36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3" fontId="50" fillId="0" borderId="0" xfId="0" applyNumberFormat="1" applyFont="1"/>
    <xf numFmtId="0" fontId="50" fillId="0" borderId="0" xfId="0" applyFont="1"/>
    <xf numFmtId="0" fontId="4" fillId="0" borderId="0" xfId="0" applyFont="1" applyFill="1" applyBorder="1" applyAlignment="1">
      <alignment horizontal="left"/>
    </xf>
    <xf numFmtId="0" fontId="54" fillId="0" borderId="0" xfId="0" applyFont="1"/>
    <xf numFmtId="0" fontId="56" fillId="0" borderId="0" xfId="0" applyFont="1"/>
    <xf numFmtId="3" fontId="56" fillId="0" borderId="0" xfId="164" applyFont="1" applyFill="1" applyBorder="1" applyAlignment="1">
      <alignment horizontal="center"/>
    </xf>
    <xf numFmtId="3" fontId="53" fillId="7" borderId="38" xfId="0" applyNumberFormat="1" applyFont="1" applyFill="1" applyBorder="1" applyProtection="1">
      <protection locked="0"/>
    </xf>
    <xf numFmtId="3" fontId="53" fillId="7" borderId="39" xfId="0" applyNumberFormat="1" applyFont="1" applyFill="1" applyBorder="1" applyProtection="1">
      <protection locked="0"/>
    </xf>
    <xf numFmtId="3" fontId="53" fillId="7" borderId="40" xfId="0" applyNumberFormat="1" applyFont="1" applyFill="1" applyBorder="1" applyProtection="1">
      <protection locked="0"/>
    </xf>
    <xf numFmtId="3" fontId="55" fillId="7" borderId="41" xfId="0" applyNumberFormat="1" applyFont="1" applyFill="1" applyBorder="1" applyProtection="1">
      <protection locked="0"/>
    </xf>
    <xf numFmtId="3" fontId="55" fillId="7" borderId="18" xfId="0" applyNumberFormat="1" applyFont="1" applyFill="1" applyBorder="1" applyProtection="1">
      <protection locked="0"/>
    </xf>
    <xf numFmtId="3" fontId="55" fillId="7" borderId="42" xfId="0" applyNumberFormat="1" applyFont="1" applyFill="1" applyBorder="1" applyProtection="1">
      <protection locked="0"/>
    </xf>
    <xf numFmtId="3" fontId="0" fillId="7" borderId="41" xfId="0" applyNumberFormat="1" applyFill="1" applyBorder="1" applyProtection="1">
      <protection locked="0"/>
    </xf>
    <xf numFmtId="3" fontId="0" fillId="7" borderId="18" xfId="0" applyNumberFormat="1" applyFill="1" applyBorder="1" applyProtection="1">
      <protection locked="0"/>
    </xf>
    <xf numFmtId="3" fontId="0" fillId="7" borderId="42" xfId="0" applyNumberFormat="1" applyFill="1" applyBorder="1" applyProtection="1">
      <protection locked="0"/>
    </xf>
    <xf numFmtId="3" fontId="54" fillId="7" borderId="41" xfId="0" applyNumberFormat="1" applyFont="1" applyFill="1" applyBorder="1" applyProtection="1">
      <protection locked="0"/>
    </xf>
    <xf numFmtId="3" fontId="54" fillId="7" borderId="18" xfId="0" applyNumberFormat="1" applyFont="1" applyFill="1" applyBorder="1" applyProtection="1">
      <protection locked="0"/>
    </xf>
    <xf numFmtId="3" fontId="54" fillId="7" borderId="42" xfId="0" applyNumberFormat="1" applyFont="1" applyFill="1" applyBorder="1" applyProtection="1">
      <protection locked="0"/>
    </xf>
    <xf numFmtId="0" fontId="0" fillId="7" borderId="41" xfId="0" applyFill="1" applyBorder="1" applyProtection="1">
      <protection locked="0"/>
    </xf>
    <xf numFmtId="0" fontId="0" fillId="7" borderId="18" xfId="0" applyFill="1" applyBorder="1" applyProtection="1">
      <protection locked="0"/>
    </xf>
    <xf numFmtId="0" fontId="0" fillId="7" borderId="42" xfId="0" applyFill="1" applyBorder="1" applyProtection="1">
      <protection locked="0"/>
    </xf>
    <xf numFmtId="0" fontId="0" fillId="7" borderId="43" xfId="0" applyFill="1" applyBorder="1" applyProtection="1">
      <protection locked="0"/>
    </xf>
    <xf numFmtId="0" fontId="0" fillId="7" borderId="44" xfId="0" applyFill="1" applyBorder="1" applyProtection="1">
      <protection locked="0"/>
    </xf>
    <xf numFmtId="0" fontId="0" fillId="7" borderId="45" xfId="0" applyFill="1" applyBorder="1" applyProtection="1">
      <protection locked="0"/>
    </xf>
    <xf numFmtId="3" fontId="0" fillId="0" borderId="0" xfId="0" applyNumberFormat="1" applyFont="1" applyFill="1" applyBorder="1" applyAlignment="1">
      <alignment horizontal="right"/>
    </xf>
    <xf numFmtId="3" fontId="0" fillId="0" borderId="0" xfId="0" applyNumberFormat="1" applyFont="1"/>
    <xf numFmtId="3" fontId="57" fillId="0" borderId="0" xfId="74" applyFont="1" applyAlignment="1">
      <alignment horizontal="center"/>
    </xf>
    <xf numFmtId="0" fontId="54" fillId="0" borderId="0" xfId="0" applyFont="1" applyProtection="1">
      <protection locked="0"/>
    </xf>
    <xf numFmtId="3" fontId="53" fillId="0" borderId="0" xfId="0" applyNumberFormat="1" applyFont="1" applyFill="1" applyBorder="1" applyProtection="1">
      <protection locked="0"/>
    </xf>
    <xf numFmtId="3" fontId="0" fillId="0" borderId="0" xfId="0" applyNumberFormat="1" applyFill="1" applyBorder="1" applyProtection="1">
      <protection locked="0"/>
    </xf>
    <xf numFmtId="0" fontId="53" fillId="0" borderId="0" xfId="0" applyFont="1" applyProtection="1">
      <protection locked="0"/>
    </xf>
    <xf numFmtId="0" fontId="55" fillId="0" borderId="0" xfId="0" applyFont="1" applyProtection="1">
      <protection locked="0"/>
    </xf>
    <xf numFmtId="0" fontId="11" fillId="8" borderId="0" xfId="0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8" fillId="2" borderId="1" xfId="0" applyFont="1" applyFill="1" applyBorder="1" applyAlignment="1" applyProtection="1">
      <alignment horizontal="center"/>
      <protection locked="0"/>
    </xf>
    <xf numFmtId="3" fontId="58" fillId="0" borderId="0" xfId="0" applyNumberFormat="1" applyFont="1" applyBorder="1" applyAlignment="1">
      <alignment horizontal="center"/>
    </xf>
    <xf numFmtId="0" fontId="59" fillId="0" borderId="0" xfId="0" applyFont="1"/>
    <xf numFmtId="0" fontId="60" fillId="0" borderId="0" xfId="0" applyFont="1"/>
    <xf numFmtId="3" fontId="8" fillId="2" borderId="18" xfId="66" applyAlignment="1" applyProtection="1">
      <alignment horizontal="center" vertical="center"/>
      <protection locked="0"/>
    </xf>
    <xf numFmtId="0" fontId="0" fillId="9" borderId="0" xfId="0" applyFill="1" applyAlignment="1" applyProtection="1">
      <alignment horizontal="center"/>
      <protection locked="0"/>
    </xf>
    <xf numFmtId="168" fontId="61" fillId="0" borderId="0" xfId="0" applyNumberFormat="1" applyFont="1" applyAlignment="1">
      <alignment horizontal="center"/>
    </xf>
    <xf numFmtId="0" fontId="61" fillId="0" borderId="0" xfId="0" applyFont="1"/>
    <xf numFmtId="0" fontId="0" fillId="0" borderId="46" xfId="0" applyBorder="1"/>
    <xf numFmtId="0" fontId="64" fillId="0" borderId="46" xfId="0" applyFont="1" applyBorder="1"/>
    <xf numFmtId="0" fontId="0" fillId="0" borderId="34" xfId="0" applyBorder="1" applyAlignment="1"/>
    <xf numFmtId="0" fontId="4" fillId="13" borderId="0" xfId="0" applyFont="1" applyFill="1" applyAlignment="1">
      <alignment horizontal="center" vertical="center"/>
    </xf>
    <xf numFmtId="0" fontId="4" fillId="11" borderId="0" xfId="947">
      <alignment horizontal="center"/>
    </xf>
    <xf numFmtId="0" fontId="65" fillId="15" borderId="0" xfId="948">
      <alignment horizontal="center"/>
    </xf>
    <xf numFmtId="0" fontId="63" fillId="14" borderId="0" xfId="949">
      <alignment horizontal="center"/>
    </xf>
    <xf numFmtId="0" fontId="4" fillId="10" borderId="0" xfId="950">
      <alignment horizontal="center"/>
    </xf>
    <xf numFmtId="0" fontId="66" fillId="18" borderId="0" xfId="955">
      <alignment horizontal="center"/>
    </xf>
    <xf numFmtId="0" fontId="62" fillId="17" borderId="0" xfId="954">
      <alignment horizontal="center"/>
    </xf>
    <xf numFmtId="0" fontId="4" fillId="12" borderId="0" xfId="953">
      <alignment horizontal="center"/>
    </xf>
    <xf numFmtId="0" fontId="4" fillId="16" borderId="0" xfId="952">
      <alignment horizontal="center"/>
    </xf>
    <xf numFmtId="0" fontId="67" fillId="19" borderId="0" xfId="956">
      <alignment horizontal="center"/>
    </xf>
    <xf numFmtId="0" fontId="68" fillId="0" borderId="0" xfId="0" applyFont="1"/>
    <xf numFmtId="3" fontId="55" fillId="13" borderId="18" xfId="0" applyNumberFormat="1" applyFont="1" applyFill="1" applyBorder="1" applyProtection="1">
      <protection locked="0"/>
    </xf>
    <xf numFmtId="0" fontId="68" fillId="0" borderId="0" xfId="0" applyFont="1" applyAlignment="1">
      <alignment horizontal="center"/>
    </xf>
    <xf numFmtId="3" fontId="68" fillId="0" borderId="0" xfId="0" applyNumberFormat="1" applyFont="1" applyAlignment="1">
      <alignment horizontal="center"/>
    </xf>
    <xf numFmtId="177" fontId="0" fillId="0" borderId="0" xfId="0" applyNumberFormat="1" applyAlignment="1">
      <alignment horizontal="center"/>
    </xf>
    <xf numFmtId="0" fontId="0" fillId="3" borderId="56" xfId="0" applyFill="1" applyBorder="1" applyProtection="1">
      <protection locked="0"/>
    </xf>
    <xf numFmtId="0" fontId="0" fillId="3" borderId="56" xfId="0" applyFill="1" applyBorder="1" applyAlignment="1" applyProtection="1">
      <alignment horizontal="center"/>
      <protection locked="0"/>
    </xf>
    <xf numFmtId="3" fontId="0" fillId="3" borderId="56" xfId="0" applyNumberFormat="1" applyFill="1" applyBorder="1" applyAlignment="1" applyProtection="1">
      <alignment horizontal="center"/>
      <protection locked="0"/>
    </xf>
    <xf numFmtId="0" fontId="61" fillId="21" borderId="56" xfId="0" applyFont="1" applyFill="1" applyBorder="1" applyAlignment="1" applyProtection="1">
      <alignment horizontal="center"/>
      <protection locked="0"/>
    </xf>
    <xf numFmtId="0" fontId="0" fillId="3" borderId="57" xfId="0" applyFill="1" applyBorder="1" applyProtection="1">
      <protection locked="0"/>
    </xf>
    <xf numFmtId="0" fontId="0" fillId="3" borderId="57" xfId="0" applyFill="1" applyBorder="1" applyAlignment="1" applyProtection="1">
      <alignment horizontal="center"/>
      <protection locked="0"/>
    </xf>
    <xf numFmtId="3" fontId="0" fillId="3" borderId="57" xfId="0" applyNumberFormat="1" applyFill="1" applyBorder="1" applyAlignment="1" applyProtection="1">
      <alignment horizontal="center"/>
      <protection locked="0"/>
    </xf>
    <xf numFmtId="0" fontId="61" fillId="21" borderId="57" xfId="0" applyFont="1" applyFill="1" applyBorder="1" applyAlignment="1" applyProtection="1">
      <alignment horizontal="center"/>
      <protection locked="0"/>
    </xf>
    <xf numFmtId="0" fontId="4" fillId="0" borderId="46" xfId="0" applyFont="1" applyBorder="1"/>
    <xf numFmtId="0" fontId="4" fillId="0" borderId="46" xfId="0" applyFont="1" applyBorder="1" applyAlignment="1">
      <alignment horizontal="center"/>
    </xf>
    <xf numFmtId="3" fontId="4" fillId="0" borderId="46" xfId="0" applyNumberFormat="1" applyFont="1" applyBorder="1" applyAlignment="1">
      <alignment horizontal="center"/>
    </xf>
    <xf numFmtId="0" fontId="0" fillId="0" borderId="0" xfId="0" quotePrefix="1" applyAlignment="1">
      <alignment horizontal="center"/>
    </xf>
    <xf numFmtId="166" fontId="70" fillId="0" borderId="0" xfId="0" applyNumberFormat="1" applyFont="1" applyAlignment="1">
      <alignment horizontal="center"/>
    </xf>
    <xf numFmtId="0" fontId="61" fillId="0" borderId="0" xfId="0" applyFont="1" applyAlignment="1">
      <alignment horizontal="center"/>
    </xf>
    <xf numFmtId="166" fontId="0" fillId="0" borderId="0" xfId="0" applyNumberFormat="1"/>
    <xf numFmtId="0" fontId="72" fillId="0" borderId="0" xfId="0" applyFont="1" applyAlignment="1">
      <alignment horizontal="center" vertical="center" wrapText="1"/>
    </xf>
    <xf numFmtId="0" fontId="72" fillId="0" borderId="0" xfId="0" applyFont="1" applyAlignment="1">
      <alignment horizontal="center"/>
    </xf>
    <xf numFmtId="2" fontId="73" fillId="0" borderId="0" xfId="0" applyNumberFormat="1" applyFont="1" applyAlignment="1" applyProtection="1">
      <alignment horizontal="center"/>
      <protection locked="0"/>
    </xf>
    <xf numFmtId="2" fontId="73" fillId="0" borderId="58" xfId="0" applyNumberFormat="1" applyFont="1" applyBorder="1" applyAlignment="1" applyProtection="1">
      <alignment horizontal="center"/>
      <protection locked="0"/>
    </xf>
    <xf numFmtId="165" fontId="11" fillId="0" borderId="0" xfId="69" applyFill="1" applyBorder="1">
      <alignment horizontal="center"/>
    </xf>
    <xf numFmtId="165" fontId="72" fillId="0" borderId="0" xfId="69" applyFont="1">
      <alignment horizontal="center"/>
    </xf>
    <xf numFmtId="0" fontId="0" fillId="0" borderId="58" xfId="0" applyBorder="1" applyProtection="1">
      <protection locked="0"/>
    </xf>
    <xf numFmtId="173" fontId="26" fillId="0" borderId="0" xfId="164" applyNumberFormat="1" applyFont="1" applyAlignment="1">
      <alignment horizontal="center" vertical="center"/>
    </xf>
    <xf numFmtId="166" fontId="74" fillId="0" borderId="0" xfId="72" applyFont="1"/>
    <xf numFmtId="0" fontId="75" fillId="0" borderId="0" xfId="0" applyFont="1" applyAlignment="1">
      <alignment horizontal="center" vertical="top"/>
    </xf>
    <xf numFmtId="3" fontId="3" fillId="0" borderId="0" xfId="164" applyFont="1"/>
    <xf numFmtId="3" fontId="4" fillId="0" borderId="0" xfId="164" applyFont="1" applyAlignment="1">
      <alignment horizontal="center"/>
    </xf>
    <xf numFmtId="0" fontId="0" fillId="0" borderId="0" xfId="0" applyFont="1" applyAlignment="1">
      <alignment horizontal="center"/>
    </xf>
    <xf numFmtId="168" fontId="3" fillId="0" borderId="0" xfId="219" applyFont="1">
      <alignment horizontal="center"/>
    </xf>
    <xf numFmtId="168" fontId="4" fillId="0" borderId="0" xfId="219" applyFo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/>
    <xf numFmtId="178" fontId="4" fillId="0" borderId="0" xfId="0" applyNumberFormat="1" applyFont="1" applyAlignment="1">
      <alignment horizontal="center"/>
    </xf>
    <xf numFmtId="168" fontId="76" fillId="0" borderId="0" xfId="219" applyFont="1">
      <alignment horizontal="center"/>
    </xf>
    <xf numFmtId="179" fontId="75" fillId="0" borderId="0" xfId="1157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0" fillId="8" borderId="57" xfId="0" applyNumberFormat="1" applyFill="1" applyBorder="1" applyAlignment="1">
      <alignment horizontal="center"/>
    </xf>
    <xf numFmtId="0" fontId="77" fillId="0" borderId="0" xfId="0" applyFont="1" applyAlignment="1">
      <alignment horizontal="center"/>
    </xf>
    <xf numFmtId="180" fontId="52" fillId="0" borderId="0" xfId="862" applyNumberFormat="1" applyAlignment="1">
      <alignment horizontal="center"/>
    </xf>
    <xf numFmtId="181" fontId="1" fillId="22" borderId="59" xfId="219" applyNumberFormat="1" applyFont="1" applyFill="1" applyBorder="1">
      <alignment horizontal="center"/>
    </xf>
    <xf numFmtId="181" fontId="1" fillId="22" borderId="60" xfId="219" applyNumberFormat="1" applyFont="1" applyFill="1" applyBorder="1">
      <alignment horizontal="center"/>
    </xf>
    <xf numFmtId="181" fontId="0" fillId="22" borderId="60" xfId="219" applyNumberFormat="1" applyFont="1" applyFill="1" applyBorder="1">
      <alignment horizontal="center"/>
    </xf>
    <xf numFmtId="181" fontId="1" fillId="22" borderId="61" xfId="219" applyNumberFormat="1" applyFont="1" applyFill="1" applyBorder="1">
      <alignment horizontal="center"/>
    </xf>
    <xf numFmtId="0" fontId="78" fillId="0" borderId="46" xfId="0" applyFont="1" applyBorder="1" applyAlignment="1">
      <alignment horizontal="center"/>
    </xf>
    <xf numFmtId="0" fontId="79" fillId="8" borderId="57" xfId="0" applyNumberFormat="1" applyFont="1" applyFill="1" applyBorder="1" applyAlignment="1">
      <alignment horizontal="center"/>
    </xf>
    <xf numFmtId="0" fontId="79" fillId="8" borderId="56" xfId="0" applyNumberFormat="1" applyFont="1" applyFill="1" applyBorder="1" applyAlignment="1">
      <alignment horizontal="center"/>
    </xf>
    <xf numFmtId="0" fontId="7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6" fontId="15" fillId="0" borderId="0" xfId="72" applyAlignment="1">
      <alignment horizontal="center"/>
    </xf>
    <xf numFmtId="166" fontId="15" fillId="0" borderId="62" xfId="72" applyBorder="1" applyAlignment="1">
      <alignment horizontal="center"/>
    </xf>
    <xf numFmtId="166" fontId="15" fillId="0" borderId="63" xfId="72" applyBorder="1" applyAlignment="1">
      <alignment horizontal="center"/>
    </xf>
    <xf numFmtId="0" fontId="81" fillId="0" borderId="0" xfId="0" applyFont="1"/>
    <xf numFmtId="0" fontId="81" fillId="0" borderId="0" xfId="0" applyFont="1" applyAlignment="1">
      <alignment horizontal="center"/>
    </xf>
    <xf numFmtId="182" fontId="81" fillId="0" borderId="0" xfId="0" applyNumberFormat="1" applyFont="1" applyAlignment="1">
      <alignment horizontal="center"/>
    </xf>
    <xf numFmtId="3" fontId="81" fillId="0" borderId="0" xfId="164" applyFont="1"/>
    <xf numFmtId="168" fontId="81" fillId="0" borderId="0" xfId="219" applyFont="1">
      <alignment horizontal="center"/>
    </xf>
    <xf numFmtId="3" fontId="80" fillId="0" borderId="0" xfId="164" applyFont="1"/>
    <xf numFmtId="168" fontId="80" fillId="0" borderId="0" xfId="219" applyFont="1">
      <alignment horizontal="center"/>
    </xf>
    <xf numFmtId="0" fontId="80" fillId="0" borderId="0" xfId="0" applyFont="1"/>
    <xf numFmtId="168" fontId="4" fillId="0" borderId="0" xfId="219" applyFont="1" applyAlignment="1">
      <alignment horizontal="center"/>
    </xf>
    <xf numFmtId="3" fontId="3" fillId="3" borderId="56" xfId="164" applyFont="1" applyFill="1" applyBorder="1"/>
    <xf numFmtId="168" fontId="3" fillId="3" borderId="56" xfId="219" applyFont="1" applyFill="1" applyBorder="1">
      <alignment horizontal="center"/>
    </xf>
    <xf numFmtId="3" fontId="3" fillId="3" borderId="56" xfId="219" applyNumberFormat="1" applyFont="1" applyFill="1" applyBorder="1">
      <alignment horizontal="center"/>
    </xf>
    <xf numFmtId="3" fontId="3" fillId="3" borderId="56" xfId="164" applyNumberFormat="1" applyFont="1" applyFill="1" applyBorder="1" applyAlignment="1">
      <alignment horizontal="center"/>
    </xf>
    <xf numFmtId="3" fontId="0" fillId="0" borderId="0" xfId="0" applyNumberFormat="1" applyFont="1" applyAlignment="1">
      <alignment horizontal="right"/>
    </xf>
    <xf numFmtId="3" fontId="81" fillId="0" borderId="0" xfId="0" applyNumberFormat="1" applyFont="1" applyAlignment="1">
      <alignment horizontal="center"/>
    </xf>
    <xf numFmtId="0" fontId="0" fillId="3" borderId="56" xfId="0" applyFont="1" applyFill="1" applyBorder="1" applyAlignment="1">
      <alignment horizontal="center"/>
    </xf>
    <xf numFmtId="0" fontId="0" fillId="3" borderId="56" xfId="0" applyFill="1" applyBorder="1" applyAlignment="1">
      <alignment horizontal="center"/>
    </xf>
    <xf numFmtId="0" fontId="0" fillId="3" borderId="56" xfId="0" applyFill="1" applyBorder="1"/>
    <xf numFmtId="165" fontId="11" fillId="0" borderId="0" xfId="69" applyAlignment="1">
      <alignment horizontal="left" vertical="center"/>
    </xf>
    <xf numFmtId="0" fontId="34" fillId="3" borderId="13" xfId="0" applyFont="1" applyFill="1" applyBorder="1" applyAlignment="1" applyProtection="1">
      <alignment horizontal="left" vertical="top" wrapText="1"/>
      <protection locked="0"/>
    </xf>
    <xf numFmtId="0" fontId="34" fillId="3" borderId="0" xfId="0" applyFont="1" applyFill="1" applyBorder="1" applyAlignment="1" applyProtection="1">
      <alignment horizontal="left" vertical="top" wrapText="1"/>
      <protection locked="0"/>
    </xf>
    <xf numFmtId="0" fontId="34" fillId="3" borderId="14" xfId="0" applyFont="1" applyFill="1" applyBorder="1" applyAlignment="1" applyProtection="1">
      <alignment horizontal="left" vertical="top" wrapText="1"/>
      <protection locked="0"/>
    </xf>
    <xf numFmtId="0" fontId="34" fillId="3" borderId="15" xfId="0" applyFont="1" applyFill="1" applyBorder="1" applyAlignment="1" applyProtection="1">
      <alignment horizontal="left" vertical="top" wrapText="1"/>
      <protection locked="0"/>
    </xf>
    <xf numFmtId="0" fontId="34" fillId="3" borderId="16" xfId="0" applyFont="1" applyFill="1" applyBorder="1" applyAlignment="1" applyProtection="1">
      <alignment horizontal="left" vertical="top" wrapText="1"/>
      <protection locked="0"/>
    </xf>
    <xf numFmtId="0" fontId="34" fillId="3" borderId="17" xfId="0" applyFont="1" applyFill="1" applyBorder="1" applyAlignment="1" applyProtection="1">
      <alignment horizontal="left" vertical="top" wrapText="1"/>
      <protection locked="0"/>
    </xf>
    <xf numFmtId="0" fontId="34" fillId="5" borderId="13" xfId="0" applyFont="1" applyFill="1" applyBorder="1" applyAlignment="1" applyProtection="1">
      <alignment horizontal="left" vertical="top" wrapText="1"/>
      <protection locked="0"/>
    </xf>
    <xf numFmtId="0" fontId="34" fillId="5" borderId="0" xfId="0" applyFont="1" applyFill="1" applyBorder="1" applyAlignment="1" applyProtection="1">
      <alignment horizontal="left" vertical="top" wrapText="1"/>
      <protection locked="0"/>
    </xf>
    <xf numFmtId="0" fontId="34" fillId="5" borderId="14" xfId="0" applyFont="1" applyFill="1" applyBorder="1" applyAlignment="1" applyProtection="1">
      <alignment horizontal="left" vertical="top" wrapText="1"/>
      <protection locked="0"/>
    </xf>
    <xf numFmtId="0" fontId="34" fillId="5" borderId="15" xfId="0" applyFont="1" applyFill="1" applyBorder="1" applyAlignment="1" applyProtection="1">
      <alignment horizontal="left" vertical="top" wrapText="1"/>
      <protection locked="0"/>
    </xf>
    <xf numFmtId="0" fontId="34" fillId="5" borderId="16" xfId="0" applyFont="1" applyFill="1" applyBorder="1" applyAlignment="1" applyProtection="1">
      <alignment horizontal="left" vertical="top" wrapText="1"/>
      <protection locked="0"/>
    </xf>
    <xf numFmtId="0" fontId="34" fillId="5" borderId="17" xfId="0" applyFont="1" applyFill="1" applyBorder="1" applyAlignment="1" applyProtection="1">
      <alignment horizontal="left" vertical="top" wrapText="1"/>
      <protection locked="0"/>
    </xf>
    <xf numFmtId="0" fontId="32" fillId="0" borderId="11" xfId="0" applyFont="1" applyBorder="1" applyAlignment="1">
      <alignment horizontal="left" vertical="center" wrapText="1"/>
    </xf>
    <xf numFmtId="0" fontId="32" fillId="0" borderId="12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14" xfId="0" applyFont="1" applyBorder="1" applyAlignment="1">
      <alignment horizontal="left" vertical="center" wrapText="1"/>
    </xf>
    <xf numFmtId="166" fontId="29" fillId="0" borderId="7" xfId="72" applyFont="1" applyBorder="1" applyAlignment="1">
      <alignment horizontal="center"/>
    </xf>
    <xf numFmtId="166" fontId="29" fillId="0" borderId="8" xfId="72" applyFont="1" applyBorder="1" applyAlignment="1">
      <alignment horizontal="center"/>
    </xf>
    <xf numFmtId="166" fontId="29" fillId="0" borderId="9" xfId="72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3" fontId="22" fillId="0" borderId="15" xfId="164" applyFont="1" applyBorder="1" applyAlignment="1">
      <alignment horizontal="center"/>
    </xf>
    <xf numFmtId="3" fontId="22" fillId="0" borderId="16" xfId="164" applyFont="1" applyBorder="1" applyAlignment="1">
      <alignment horizontal="center"/>
    </xf>
    <xf numFmtId="3" fontId="22" fillId="0" borderId="17" xfId="164" applyFont="1" applyBorder="1" applyAlignment="1">
      <alignment horizontal="center"/>
    </xf>
    <xf numFmtId="0" fontId="35" fillId="0" borderId="11" xfId="0" applyFont="1" applyBorder="1" applyAlignment="1">
      <alignment horizontal="center" vertical="center"/>
    </xf>
    <xf numFmtId="0" fontId="48" fillId="6" borderId="28" xfId="0" applyFont="1" applyFill="1" applyBorder="1" applyAlignment="1" applyProtection="1">
      <alignment horizontal="left" vertical="top" wrapText="1"/>
      <protection locked="0"/>
    </xf>
    <xf numFmtId="0" fontId="48" fillId="6" borderId="0" xfId="0" applyFont="1" applyFill="1" applyBorder="1" applyAlignment="1" applyProtection="1">
      <alignment horizontal="left" vertical="top" wrapText="1"/>
      <protection locked="0"/>
    </xf>
    <xf numFmtId="0" fontId="48" fillId="6" borderId="29" xfId="0" applyFont="1" applyFill="1" applyBorder="1" applyAlignment="1" applyProtection="1">
      <alignment horizontal="left" vertical="top" wrapText="1"/>
      <protection locked="0"/>
    </xf>
    <xf numFmtId="0" fontId="48" fillId="6" borderId="30" xfId="0" applyFont="1" applyFill="1" applyBorder="1" applyAlignment="1" applyProtection="1">
      <alignment horizontal="left" vertical="top" wrapText="1"/>
      <protection locked="0"/>
    </xf>
    <xf numFmtId="0" fontId="48" fillId="6" borderId="31" xfId="0" applyFont="1" applyFill="1" applyBorder="1" applyAlignment="1" applyProtection="1">
      <alignment horizontal="left" vertical="top" wrapText="1"/>
      <protection locked="0"/>
    </xf>
    <xf numFmtId="0" fontId="48" fillId="6" borderId="32" xfId="0" applyFont="1" applyFill="1" applyBorder="1" applyAlignment="1" applyProtection="1">
      <alignment horizontal="left" vertical="top" wrapText="1"/>
      <protection locked="0"/>
    </xf>
    <xf numFmtId="0" fontId="69" fillId="20" borderId="53" xfId="0" applyNumberFormat="1" applyFont="1" applyFill="1" applyBorder="1" applyAlignment="1" applyProtection="1">
      <alignment horizontal="left"/>
      <protection locked="0"/>
    </xf>
    <xf numFmtId="0" fontId="69" fillId="20" borderId="54" xfId="0" applyNumberFormat="1" applyFont="1" applyFill="1" applyBorder="1" applyAlignment="1" applyProtection="1">
      <alignment horizontal="left"/>
      <protection locked="0"/>
    </xf>
    <xf numFmtId="0" fontId="69" fillId="20" borderId="55" xfId="0" applyNumberFormat="1" applyFont="1" applyFill="1" applyBorder="1" applyAlignment="1" applyProtection="1">
      <alignment horizontal="left"/>
      <protection locked="0"/>
    </xf>
    <xf numFmtId="0" fontId="4" fillId="0" borderId="52" xfId="0" applyFont="1" applyBorder="1" applyAlignment="1" applyProtection="1">
      <alignment horizontal="left"/>
      <protection locked="0"/>
    </xf>
    <xf numFmtId="0" fontId="63" fillId="14" borderId="0" xfId="949" applyProtection="1">
      <alignment horizontal="center"/>
      <protection locked="0"/>
    </xf>
    <xf numFmtId="0" fontId="4" fillId="0" borderId="51" xfId="0" applyFont="1" applyBorder="1" applyAlignment="1" applyProtection="1">
      <alignment horizontal="left"/>
      <protection locked="0"/>
    </xf>
    <xf numFmtId="0" fontId="4" fillId="10" borderId="0" xfId="950" applyProtection="1">
      <alignment horizontal="center"/>
      <protection locked="0"/>
    </xf>
    <xf numFmtId="0" fontId="4" fillId="10" borderId="0" xfId="950">
      <alignment horizontal="center"/>
    </xf>
    <xf numFmtId="0" fontId="62" fillId="17" borderId="0" xfId="954" applyProtection="1">
      <alignment horizontal="center"/>
      <protection locked="0"/>
    </xf>
    <xf numFmtId="0" fontId="4" fillId="11" borderId="0" xfId="947">
      <alignment horizontal="center"/>
    </xf>
    <xf numFmtId="0" fontId="4" fillId="0" borderId="50" xfId="0" applyFont="1" applyBorder="1" applyAlignment="1" applyProtection="1">
      <alignment horizontal="left"/>
      <protection locked="0"/>
    </xf>
    <xf numFmtId="0" fontId="4" fillId="13" borderId="0" xfId="951">
      <alignment horizontal="center"/>
    </xf>
    <xf numFmtId="0" fontId="0" fillId="0" borderId="47" xfId="0" applyBorder="1" applyAlignment="1" applyProtection="1">
      <alignment horizontal="center"/>
      <protection locked="0"/>
    </xf>
    <xf numFmtId="0" fontId="0" fillId="0" borderId="48" xfId="0" applyBorder="1" applyAlignment="1" applyProtection="1">
      <alignment horizontal="center"/>
      <protection locked="0"/>
    </xf>
    <xf numFmtId="0" fontId="63" fillId="14" borderId="47" xfId="949" applyBorder="1">
      <alignment horizontal="center"/>
    </xf>
    <xf numFmtId="0" fontId="63" fillId="14" borderId="48" xfId="949" applyBorder="1">
      <alignment horizontal="center"/>
    </xf>
    <xf numFmtId="0" fontId="63" fillId="14" borderId="0" xfId="949" applyBorder="1" applyProtection="1">
      <alignment horizontal="center"/>
      <protection locked="0"/>
    </xf>
    <xf numFmtId="0" fontId="0" fillId="0" borderId="49" xfId="0" applyBorder="1" applyAlignment="1" applyProtection="1">
      <alignment horizontal="left"/>
      <protection locked="0"/>
    </xf>
    <xf numFmtId="0" fontId="0" fillId="0" borderId="51" xfId="0" applyBorder="1" applyAlignment="1" applyProtection="1">
      <alignment horizontal="left"/>
      <protection locked="0"/>
    </xf>
    <xf numFmtId="0" fontId="0" fillId="0" borderId="34" xfId="0" applyBorder="1" applyAlignment="1">
      <alignment horizontal="center"/>
    </xf>
    <xf numFmtId="0" fontId="0" fillId="0" borderId="52" xfId="0" applyBorder="1" applyAlignment="1" applyProtection="1">
      <alignment horizontal="left"/>
      <protection locked="0"/>
    </xf>
    <xf numFmtId="0" fontId="0" fillId="0" borderId="49" xfId="0" applyBorder="1" applyAlignment="1" applyProtection="1">
      <alignment horizontal="center"/>
      <protection locked="0"/>
    </xf>
    <xf numFmtId="0" fontId="0" fillId="0" borderId="50" xfId="0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4" fillId="0" borderId="46" xfId="0" applyFont="1" applyBorder="1" applyAlignment="1">
      <alignment horizontal="center"/>
    </xf>
  </cellXfs>
  <cellStyles count="1286">
    <cellStyle name="+Ally" xfId="948"/>
    <cellStyle name="+At War" xfId="956"/>
    <cellStyle name="+Disdained" xfId="952"/>
    <cellStyle name="+Enemy" xfId="955"/>
    <cellStyle name="+Favored" xfId="947"/>
    <cellStyle name="+Friendly" xfId="950"/>
    <cellStyle name="+Hostile" xfId="954"/>
    <cellStyle name="+Neutral" xfId="951"/>
    <cellStyle name="+Partner" xfId="949"/>
    <cellStyle name="+Unfriendly" xfId="953"/>
    <cellStyle name="Acres" xfId="75"/>
    <cellStyle name="CC" xfId="862"/>
    <cellStyle name="Class" xfId="63"/>
    <cellStyle name="Count" xfId="66"/>
    <cellStyle name="Entry %" xfId="284"/>
    <cellStyle name="Entry x" xfId="333"/>
    <cellStyle name="Entry2" xfId="503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5" builtinId="9" hidden="1"/>
    <cellStyle name="Followed Hyperlink" xfId="71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Followed Hyperlink" xfId="703" builtinId="9" hidden="1"/>
    <cellStyle name="Followed Hyperlink" xfId="705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763" builtinId="9" hidden="1"/>
    <cellStyle name="Followed Hyperlink" xfId="765" builtinId="9" hidden="1"/>
    <cellStyle name="Followed Hyperlink" xfId="767" builtinId="9" hidden="1"/>
    <cellStyle name="Followed Hyperlink" xfId="769" builtinId="9" hidden="1"/>
    <cellStyle name="Followed Hyperlink" xfId="771" builtinId="9" hidden="1"/>
    <cellStyle name="Followed Hyperlink" xfId="773" builtinId="9" hidden="1"/>
    <cellStyle name="Followed Hyperlink" xfId="775" builtinId="9" hidden="1"/>
    <cellStyle name="Followed Hyperlink" xfId="777" builtinId="9" hidden="1"/>
    <cellStyle name="Followed Hyperlink" xfId="779" builtinId="9" hidden="1"/>
    <cellStyle name="Followed Hyperlink" xfId="781" builtinId="9" hidden="1"/>
    <cellStyle name="Followed Hyperlink" xfId="783" builtinId="9" hidden="1"/>
    <cellStyle name="Followed Hyperlink" xfId="785" builtinId="9" hidden="1"/>
    <cellStyle name="Followed Hyperlink" xfId="787" builtinId="9" hidden="1"/>
    <cellStyle name="Followed Hyperlink" xfId="789" builtinId="9" hidden="1"/>
    <cellStyle name="Followed Hyperlink" xfId="791" builtinId="9" hidden="1"/>
    <cellStyle name="Followed Hyperlink" xfId="793" builtinId="9" hidden="1"/>
    <cellStyle name="Followed Hyperlink" xfId="795" builtinId="9" hidden="1"/>
    <cellStyle name="Followed Hyperlink" xfId="797" builtinId="9" hidden="1"/>
    <cellStyle name="Followed Hyperlink" xfId="799" builtinId="9" hidden="1"/>
    <cellStyle name="Followed Hyperlink" xfId="801" builtinId="9" hidden="1"/>
    <cellStyle name="Followed Hyperlink" xfId="803" builtinId="9" hidden="1"/>
    <cellStyle name="Followed Hyperlink" xfId="805" builtinId="9" hidden="1"/>
    <cellStyle name="Followed Hyperlink" xfId="807" builtinId="9" hidden="1"/>
    <cellStyle name="Followed Hyperlink" xfId="809" builtinId="9" hidden="1"/>
    <cellStyle name="Followed Hyperlink" xfId="811" builtinId="9" hidden="1"/>
    <cellStyle name="Followed Hyperlink" xfId="814" builtinId="9" hidden="1"/>
    <cellStyle name="Followed Hyperlink" xfId="816" builtinId="9" hidden="1"/>
    <cellStyle name="Followed Hyperlink" xfId="818" builtinId="9" hidden="1"/>
    <cellStyle name="Followed Hyperlink" xfId="820" builtinId="9" hidden="1"/>
    <cellStyle name="Followed Hyperlink" xfId="822" builtinId="9" hidden="1"/>
    <cellStyle name="Followed Hyperlink" xfId="824" builtinId="9" hidden="1"/>
    <cellStyle name="Followed Hyperlink" xfId="826" builtinId="9" hidden="1"/>
    <cellStyle name="Followed Hyperlink" xfId="828" builtinId="9" hidden="1"/>
    <cellStyle name="Followed Hyperlink" xfId="830" builtinId="9" hidden="1"/>
    <cellStyle name="Followed Hyperlink" xfId="832" builtinId="9" hidden="1"/>
    <cellStyle name="Followed Hyperlink" xfId="834" builtinId="9" hidden="1"/>
    <cellStyle name="Followed Hyperlink" xfId="836" builtinId="9" hidden="1"/>
    <cellStyle name="Followed Hyperlink" xfId="838" builtinId="9" hidden="1"/>
    <cellStyle name="Followed Hyperlink" xfId="840" builtinId="9" hidden="1"/>
    <cellStyle name="Followed Hyperlink" xfId="842" builtinId="9" hidden="1"/>
    <cellStyle name="Followed Hyperlink" xfId="844" builtinId="9" hidden="1"/>
    <cellStyle name="Followed Hyperlink" xfId="846" builtinId="9" hidden="1"/>
    <cellStyle name="Followed Hyperlink" xfId="848" builtinId="9" hidden="1"/>
    <cellStyle name="Followed Hyperlink" xfId="850" builtinId="9" hidden="1"/>
    <cellStyle name="Followed Hyperlink" xfId="852" builtinId="9" hidden="1"/>
    <cellStyle name="Followed Hyperlink" xfId="854" builtinId="9" hidden="1"/>
    <cellStyle name="Followed Hyperlink" xfId="856" builtinId="9" hidden="1"/>
    <cellStyle name="Followed Hyperlink" xfId="858" builtinId="9" hidden="1"/>
    <cellStyle name="Followed Hyperlink" xfId="860" builtinId="9" hidden="1"/>
    <cellStyle name="Followed Hyperlink" xfId="864" builtinId="9" hidden="1"/>
    <cellStyle name="Followed Hyperlink" xfId="866" builtinId="9" hidden="1"/>
    <cellStyle name="Followed Hyperlink" xfId="868" builtinId="9" hidden="1"/>
    <cellStyle name="Followed Hyperlink" xfId="870" builtinId="9" hidden="1"/>
    <cellStyle name="Followed Hyperlink" xfId="872" builtinId="9" hidden="1"/>
    <cellStyle name="Followed Hyperlink" xfId="874" builtinId="9" hidden="1"/>
    <cellStyle name="Followed Hyperlink" xfId="876" builtinId="9" hidden="1"/>
    <cellStyle name="Followed Hyperlink" xfId="878" builtinId="9" hidden="1"/>
    <cellStyle name="Followed Hyperlink" xfId="880" builtinId="9" hidden="1"/>
    <cellStyle name="Followed Hyperlink" xfId="882" builtinId="9" hidden="1"/>
    <cellStyle name="Followed Hyperlink" xfId="884" builtinId="9" hidden="1"/>
    <cellStyle name="Followed Hyperlink" xfId="886" builtinId="9" hidden="1"/>
    <cellStyle name="Followed Hyperlink" xfId="888" builtinId="9" hidden="1"/>
    <cellStyle name="Followed Hyperlink" xfId="890" builtinId="9" hidden="1"/>
    <cellStyle name="Followed Hyperlink" xfId="892" builtinId="9" hidden="1"/>
    <cellStyle name="Followed Hyperlink" xfId="894" builtinId="9" hidden="1"/>
    <cellStyle name="Followed Hyperlink" xfId="896" builtinId="9" hidden="1"/>
    <cellStyle name="Followed Hyperlink" xfId="898" builtinId="9" hidden="1"/>
    <cellStyle name="Followed Hyperlink" xfId="900" builtinId="9" hidden="1"/>
    <cellStyle name="Followed Hyperlink" xfId="902" builtinId="9" hidden="1"/>
    <cellStyle name="Followed Hyperlink" xfId="904" builtinId="9" hidden="1"/>
    <cellStyle name="Followed Hyperlink" xfId="906" builtinId="9" hidden="1"/>
    <cellStyle name="Followed Hyperlink" xfId="908" builtinId="9" hidden="1"/>
    <cellStyle name="Followed Hyperlink" xfId="910" builtinId="9" hidden="1"/>
    <cellStyle name="Followed Hyperlink" xfId="912" builtinId="9" hidden="1"/>
    <cellStyle name="Followed Hyperlink" xfId="914" builtinId="9" hidden="1"/>
    <cellStyle name="Followed Hyperlink" xfId="916" builtinId="9" hidden="1"/>
    <cellStyle name="Followed Hyperlink" xfId="918" builtinId="9" hidden="1"/>
    <cellStyle name="Followed Hyperlink" xfId="920" builtinId="9" hidden="1"/>
    <cellStyle name="Followed Hyperlink" xfId="922" builtinId="9" hidden="1"/>
    <cellStyle name="Followed Hyperlink" xfId="924" builtinId="9" hidden="1"/>
    <cellStyle name="Followed Hyperlink" xfId="926" builtinId="9" hidden="1"/>
    <cellStyle name="Followed Hyperlink" xfId="928" builtinId="9" hidden="1"/>
    <cellStyle name="Followed Hyperlink" xfId="930" builtinId="9" hidden="1"/>
    <cellStyle name="Followed Hyperlink" xfId="932" builtinId="9" hidden="1"/>
    <cellStyle name="Followed Hyperlink" xfId="934" builtinId="9" hidden="1"/>
    <cellStyle name="Followed Hyperlink" xfId="936" builtinId="9" hidden="1"/>
    <cellStyle name="Followed Hyperlink" xfId="938" builtinId="9" hidden="1"/>
    <cellStyle name="Followed Hyperlink" xfId="940" builtinId="9" hidden="1"/>
    <cellStyle name="Followed Hyperlink" xfId="942" builtinId="9" hidden="1"/>
    <cellStyle name="Followed Hyperlink" xfId="944" builtinId="9" hidden="1"/>
    <cellStyle name="Followed Hyperlink" xfId="946" builtinId="9" hidden="1"/>
    <cellStyle name="Followed Hyperlink" xfId="958" builtinId="9" hidden="1"/>
    <cellStyle name="Followed Hyperlink" xfId="960" builtinId="9" hidden="1"/>
    <cellStyle name="Followed Hyperlink" xfId="962" builtinId="9" hidden="1"/>
    <cellStyle name="Followed Hyperlink" xfId="964" builtinId="9" hidden="1"/>
    <cellStyle name="Followed Hyperlink" xfId="966" builtinId="9" hidden="1"/>
    <cellStyle name="Followed Hyperlink" xfId="968" builtinId="9" hidden="1"/>
    <cellStyle name="Followed Hyperlink" xfId="970" builtinId="9" hidden="1"/>
    <cellStyle name="Followed Hyperlink" xfId="972" builtinId="9" hidden="1"/>
    <cellStyle name="Followed Hyperlink" xfId="974" builtinId="9" hidden="1"/>
    <cellStyle name="Followed Hyperlink" xfId="976" builtinId="9" hidden="1"/>
    <cellStyle name="Followed Hyperlink" xfId="978" builtinId="9" hidden="1"/>
    <cellStyle name="Followed Hyperlink" xfId="980" builtinId="9" hidden="1"/>
    <cellStyle name="Followed Hyperlink" xfId="982" builtinId="9" hidden="1"/>
    <cellStyle name="Followed Hyperlink" xfId="984" builtinId="9" hidden="1"/>
    <cellStyle name="Followed Hyperlink" xfId="986" builtinId="9" hidden="1"/>
    <cellStyle name="Followed Hyperlink" xfId="988" builtinId="9" hidden="1"/>
    <cellStyle name="Followed Hyperlink" xfId="990" builtinId="9" hidden="1"/>
    <cellStyle name="Followed Hyperlink" xfId="992" builtinId="9" hidden="1"/>
    <cellStyle name="Followed Hyperlink" xfId="994" builtinId="9" hidden="1"/>
    <cellStyle name="Followed Hyperlink" xfId="996" builtinId="9" hidden="1"/>
    <cellStyle name="Followed Hyperlink" xfId="998" builtinId="9" hidden="1"/>
    <cellStyle name="Followed Hyperlink" xfId="1000" builtinId="9" hidden="1"/>
    <cellStyle name="Followed Hyperlink" xfId="1002" builtinId="9" hidden="1"/>
    <cellStyle name="Followed Hyperlink" xfId="1004" builtinId="9" hidden="1"/>
    <cellStyle name="Followed Hyperlink" xfId="1006" builtinId="9" hidden="1"/>
    <cellStyle name="Followed Hyperlink" xfId="1008" builtinId="9" hidden="1"/>
    <cellStyle name="Followed Hyperlink" xfId="1010" builtinId="9" hidden="1"/>
    <cellStyle name="Followed Hyperlink" xfId="1012" builtinId="9" hidden="1"/>
    <cellStyle name="Followed Hyperlink" xfId="1014" builtinId="9" hidden="1"/>
    <cellStyle name="Followed Hyperlink" xfId="1016" builtinId="9" hidden="1"/>
    <cellStyle name="Followed Hyperlink" xfId="1018" builtinId="9" hidden="1"/>
    <cellStyle name="Followed Hyperlink" xfId="1020" builtinId="9" hidden="1"/>
    <cellStyle name="Followed Hyperlink" xfId="1022" builtinId="9" hidden="1"/>
    <cellStyle name="Followed Hyperlink" xfId="1024" builtinId="9" hidden="1"/>
    <cellStyle name="Followed Hyperlink" xfId="1026" builtinId="9" hidden="1"/>
    <cellStyle name="Followed Hyperlink" xfId="1028" builtinId="9" hidden="1"/>
    <cellStyle name="Followed Hyperlink" xfId="1030" builtinId="9" hidden="1"/>
    <cellStyle name="Followed Hyperlink" xfId="1032" builtinId="9" hidden="1"/>
    <cellStyle name="Followed Hyperlink" xfId="1034" builtinId="9" hidden="1"/>
    <cellStyle name="Followed Hyperlink" xfId="1036" builtinId="9" hidden="1"/>
    <cellStyle name="Followed Hyperlink" xfId="1038" builtinId="9" hidden="1"/>
    <cellStyle name="Followed Hyperlink" xfId="1040" builtinId="9" hidden="1"/>
    <cellStyle name="Followed Hyperlink" xfId="1042" builtinId="9" hidden="1"/>
    <cellStyle name="Followed Hyperlink" xfId="1044" builtinId="9" hidden="1"/>
    <cellStyle name="Followed Hyperlink" xfId="1046" builtinId="9" hidden="1"/>
    <cellStyle name="Followed Hyperlink" xfId="1048" builtinId="9" hidden="1"/>
    <cellStyle name="Followed Hyperlink" xfId="1050" builtinId="9" hidden="1"/>
    <cellStyle name="Followed Hyperlink" xfId="1052" builtinId="9" hidden="1"/>
    <cellStyle name="Followed Hyperlink" xfId="1054" builtinId="9" hidden="1"/>
    <cellStyle name="Followed Hyperlink" xfId="1056" builtinId="9" hidden="1"/>
    <cellStyle name="Followed Hyperlink" xfId="1058" builtinId="9" hidden="1"/>
    <cellStyle name="Followed Hyperlink" xfId="1060" builtinId="9" hidden="1"/>
    <cellStyle name="Followed Hyperlink" xfId="1062" builtinId="9" hidden="1"/>
    <cellStyle name="Followed Hyperlink" xfId="1064" builtinId="9" hidden="1"/>
    <cellStyle name="Followed Hyperlink" xfId="1066" builtinId="9" hidden="1"/>
    <cellStyle name="Followed Hyperlink" xfId="1068" builtinId="9" hidden="1"/>
    <cellStyle name="Followed Hyperlink" xfId="1070" builtinId="9" hidden="1"/>
    <cellStyle name="Followed Hyperlink" xfId="1072" builtinId="9" hidden="1"/>
    <cellStyle name="Followed Hyperlink" xfId="1074" builtinId="9" hidden="1"/>
    <cellStyle name="Followed Hyperlink" xfId="1076" builtinId="9" hidden="1"/>
    <cellStyle name="Followed Hyperlink" xfId="1078" builtinId="9" hidden="1"/>
    <cellStyle name="Followed Hyperlink" xfId="1080" builtinId="9" hidden="1"/>
    <cellStyle name="Followed Hyperlink" xfId="1082" builtinId="9" hidden="1"/>
    <cellStyle name="Followed Hyperlink" xfId="1084" builtinId="9" hidden="1"/>
    <cellStyle name="Followed Hyperlink" xfId="1086" builtinId="9" hidden="1"/>
    <cellStyle name="Followed Hyperlink" xfId="1088" builtinId="9" hidden="1"/>
    <cellStyle name="Followed Hyperlink" xfId="1090" builtinId="9" hidden="1"/>
    <cellStyle name="Followed Hyperlink" xfId="1092" builtinId="9" hidden="1"/>
    <cellStyle name="Followed Hyperlink" xfId="1094" builtinId="9" hidden="1"/>
    <cellStyle name="Followed Hyperlink" xfId="1096" builtinId="9" hidden="1"/>
    <cellStyle name="Followed Hyperlink" xfId="1098" builtinId="9" hidden="1"/>
    <cellStyle name="Followed Hyperlink" xfId="1100" builtinId="9" hidden="1"/>
    <cellStyle name="Followed Hyperlink" xfId="1102" builtinId="9" hidden="1"/>
    <cellStyle name="Followed Hyperlink" xfId="1104" builtinId="9" hidden="1"/>
    <cellStyle name="Followed Hyperlink" xfId="1106" builtinId="9" hidden="1"/>
    <cellStyle name="Followed Hyperlink" xfId="1108" builtinId="9" hidden="1"/>
    <cellStyle name="Followed Hyperlink" xfId="1110" builtinId="9" hidden="1"/>
    <cellStyle name="Followed Hyperlink" xfId="1112" builtinId="9" hidden="1"/>
    <cellStyle name="Followed Hyperlink" xfId="1114" builtinId="9" hidden="1"/>
    <cellStyle name="Followed Hyperlink" xfId="1116" builtinId="9" hidden="1"/>
    <cellStyle name="Followed Hyperlink" xfId="1118" builtinId="9" hidden="1"/>
    <cellStyle name="Followed Hyperlink" xfId="1120" builtinId="9" hidden="1"/>
    <cellStyle name="Followed Hyperlink" xfId="1122" builtinId="9" hidden="1"/>
    <cellStyle name="Followed Hyperlink" xfId="1124" builtinId="9" hidden="1"/>
    <cellStyle name="Followed Hyperlink" xfId="1126" builtinId="9" hidden="1"/>
    <cellStyle name="Followed Hyperlink" xfId="1128" builtinId="9" hidden="1"/>
    <cellStyle name="Followed Hyperlink" xfId="1130" builtinId="9" hidden="1"/>
    <cellStyle name="Followed Hyperlink" xfId="1132" builtinId="9" hidden="1"/>
    <cellStyle name="Followed Hyperlink" xfId="1134" builtinId="9" hidden="1"/>
    <cellStyle name="Followed Hyperlink" xfId="1136" builtinId="9" hidden="1"/>
    <cellStyle name="Followed Hyperlink" xfId="1138" builtinId="9" hidden="1"/>
    <cellStyle name="Followed Hyperlink" xfId="1140" builtinId="9" hidden="1"/>
    <cellStyle name="Followed Hyperlink" xfId="1142" builtinId="9" hidden="1"/>
    <cellStyle name="Followed Hyperlink" xfId="1144" builtinId="9" hidden="1"/>
    <cellStyle name="Followed Hyperlink" xfId="1146" builtinId="9" hidden="1"/>
    <cellStyle name="Followed Hyperlink" xfId="1148" builtinId="9" hidden="1"/>
    <cellStyle name="Followed Hyperlink" xfId="1150" builtinId="9" hidden="1"/>
    <cellStyle name="Followed Hyperlink" xfId="1152" builtinId="9" hidden="1"/>
    <cellStyle name="Followed Hyperlink" xfId="1154" builtinId="9" hidden="1"/>
    <cellStyle name="Followed Hyperlink" xfId="1156" builtinId="9" hidden="1"/>
    <cellStyle name="Followed Hyperlink" xfId="1159" builtinId="9" hidden="1"/>
    <cellStyle name="Followed Hyperlink" xfId="1161" builtinId="9" hidden="1"/>
    <cellStyle name="Followed Hyperlink" xfId="1163" builtinId="9" hidden="1"/>
    <cellStyle name="Followed Hyperlink" xfId="1165" builtinId="9" hidden="1"/>
    <cellStyle name="Followed Hyperlink" xfId="1167" builtinId="9" hidden="1"/>
    <cellStyle name="Followed Hyperlink" xfId="1169" builtinId="9" hidden="1"/>
    <cellStyle name="Followed Hyperlink" xfId="1171" builtinId="9" hidden="1"/>
    <cellStyle name="Followed Hyperlink" xfId="1173" builtinId="9" hidden="1"/>
    <cellStyle name="Followed Hyperlink" xfId="1175" builtinId="9" hidden="1"/>
    <cellStyle name="Followed Hyperlink" xfId="1177" builtinId="9" hidden="1"/>
    <cellStyle name="Followed Hyperlink" xfId="1179" builtinId="9" hidden="1"/>
    <cellStyle name="Followed Hyperlink" xfId="1181" builtinId="9" hidden="1"/>
    <cellStyle name="Followed Hyperlink" xfId="1183" builtinId="9" hidden="1"/>
    <cellStyle name="Followed Hyperlink" xfId="1185" builtinId="9" hidden="1"/>
    <cellStyle name="Followed Hyperlink" xfId="1187" builtinId="9" hidden="1"/>
    <cellStyle name="Followed Hyperlink" xfId="1189" builtinId="9" hidden="1"/>
    <cellStyle name="Followed Hyperlink" xfId="1191" builtinId="9" hidden="1"/>
    <cellStyle name="Followed Hyperlink" xfId="1193" builtinId="9" hidden="1"/>
    <cellStyle name="Followed Hyperlink" xfId="1195" builtinId="9" hidden="1"/>
    <cellStyle name="Followed Hyperlink" xfId="1197" builtinId="9" hidden="1"/>
    <cellStyle name="Followed Hyperlink" xfId="1199" builtinId="9" hidden="1"/>
    <cellStyle name="Followed Hyperlink" xfId="1201" builtinId="9" hidden="1"/>
    <cellStyle name="Followed Hyperlink" xfId="1203" builtinId="9" hidden="1"/>
    <cellStyle name="Followed Hyperlink" xfId="1205" builtinId="9" hidden="1"/>
    <cellStyle name="Followed Hyperlink" xfId="1207" builtinId="9" hidden="1"/>
    <cellStyle name="Followed Hyperlink" xfId="1209" builtinId="9" hidden="1"/>
    <cellStyle name="Followed Hyperlink" xfId="1211" builtinId="9" hidden="1"/>
    <cellStyle name="Followed Hyperlink" xfId="1213" builtinId="9" hidden="1"/>
    <cellStyle name="Followed Hyperlink" xfId="1215" builtinId="9" hidden="1"/>
    <cellStyle name="Followed Hyperlink" xfId="1217" builtinId="9" hidden="1"/>
    <cellStyle name="Followed Hyperlink" xfId="1219" builtinId="9" hidden="1"/>
    <cellStyle name="Followed Hyperlink" xfId="1221" builtinId="9" hidden="1"/>
    <cellStyle name="Followed Hyperlink" xfId="1223" builtinId="9" hidden="1"/>
    <cellStyle name="Followed Hyperlink" xfId="1225" builtinId="9" hidden="1"/>
    <cellStyle name="Followed Hyperlink" xfId="1227" builtinId="9" hidden="1"/>
    <cellStyle name="Followed Hyperlink" xfId="1229" builtinId="9" hidden="1"/>
    <cellStyle name="Followed Hyperlink" xfId="1231" builtinId="9" hidden="1"/>
    <cellStyle name="Followed Hyperlink" xfId="1233" builtinId="9" hidden="1"/>
    <cellStyle name="Followed Hyperlink" xfId="1235" builtinId="9" hidden="1"/>
    <cellStyle name="Followed Hyperlink" xfId="1237" builtinId="9" hidden="1"/>
    <cellStyle name="Followed Hyperlink" xfId="1239" builtinId="9" hidden="1"/>
    <cellStyle name="Followed Hyperlink" xfId="1241" builtinId="9" hidden="1"/>
    <cellStyle name="Followed Hyperlink" xfId="1243" builtinId="9" hidden="1"/>
    <cellStyle name="Followed Hyperlink" xfId="1245" builtinId="9" hidden="1"/>
    <cellStyle name="Followed Hyperlink" xfId="1247" builtinId="9" hidden="1"/>
    <cellStyle name="Followed Hyperlink" xfId="1249" builtinId="9" hidden="1"/>
    <cellStyle name="Followed Hyperlink" xfId="1251" builtinId="9" hidden="1"/>
    <cellStyle name="Followed Hyperlink" xfId="1253" builtinId="9" hidden="1"/>
    <cellStyle name="Followed Hyperlink" xfId="1255" builtinId="9" hidden="1"/>
    <cellStyle name="Followed Hyperlink" xfId="1257" builtinId="9" hidden="1"/>
    <cellStyle name="Followed Hyperlink" xfId="1259" builtinId="9" hidden="1"/>
    <cellStyle name="Followed Hyperlink" xfId="1261" builtinId="9" hidden="1"/>
    <cellStyle name="Followed Hyperlink" xfId="1263" builtinId="9" hidden="1"/>
    <cellStyle name="Followed Hyperlink" xfId="1265" builtinId="9" hidden="1"/>
    <cellStyle name="Followed Hyperlink" xfId="1267" builtinId="9" hidden="1"/>
    <cellStyle name="Followed Hyperlink" xfId="1269" builtinId="9" hidden="1"/>
    <cellStyle name="Followed Hyperlink" xfId="1271" builtinId="9" hidden="1"/>
    <cellStyle name="Followed Hyperlink" xfId="1273" builtinId="9" hidden="1"/>
    <cellStyle name="Followed Hyperlink" xfId="1275" builtinId="9" hidden="1"/>
    <cellStyle name="Followed Hyperlink" xfId="1277" builtinId="9" hidden="1"/>
    <cellStyle name="Followed Hyperlink" xfId="1279" builtinId="9" hidden="1"/>
    <cellStyle name="Followed Hyperlink" xfId="1281" builtinId="9" hidden="1"/>
    <cellStyle name="Followed Hyperlink" xfId="1283" builtinId="9" hidden="1"/>
    <cellStyle name="Followed Hyperlink" xfId="1285" builtinId="9" hidden="1"/>
    <cellStyle name="Food" xfId="73"/>
    <cellStyle name="GNI" xfId="504"/>
    <cellStyle name="GNI Trade" xfId="669"/>
    <cellStyle name="Gold" xfId="72"/>
    <cellStyle name="Hexes" xfId="69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4" builtinId="8" hidden="1"/>
    <cellStyle name="Hyperlink" xfId="70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2" builtinId="8" hidden="1"/>
    <cellStyle name="Hyperlink" xfId="774" builtinId="8" hidden="1"/>
    <cellStyle name="Hyperlink" xfId="776" builtinId="8" hidden="1"/>
    <cellStyle name="Hyperlink" xfId="778" builtinId="8" hidden="1"/>
    <cellStyle name="Hyperlink" xfId="780" builtinId="8" hidden="1"/>
    <cellStyle name="Hyperlink" xfId="782" builtinId="8" hidden="1"/>
    <cellStyle name="Hyperlink" xfId="784" builtinId="8" hidden="1"/>
    <cellStyle name="Hyperlink" xfId="786" builtinId="8" hidden="1"/>
    <cellStyle name="Hyperlink" xfId="788" builtinId="8" hidden="1"/>
    <cellStyle name="Hyperlink" xfId="790" builtinId="8" hidden="1"/>
    <cellStyle name="Hyperlink" xfId="792" builtinId="8" hidden="1"/>
    <cellStyle name="Hyperlink" xfId="794" builtinId="8" hidden="1"/>
    <cellStyle name="Hyperlink" xfId="796" builtinId="8" hidden="1"/>
    <cellStyle name="Hyperlink" xfId="798" builtinId="8" hidden="1"/>
    <cellStyle name="Hyperlink" xfId="800" builtinId="8" hidden="1"/>
    <cellStyle name="Hyperlink" xfId="802" builtinId="8" hidden="1"/>
    <cellStyle name="Hyperlink" xfId="804" builtinId="8" hidden="1"/>
    <cellStyle name="Hyperlink" xfId="806" builtinId="8" hidden="1"/>
    <cellStyle name="Hyperlink" xfId="808" builtinId="8" hidden="1"/>
    <cellStyle name="Hyperlink" xfId="810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875" builtinId="8" hidden="1"/>
    <cellStyle name="Hyperlink" xfId="877" builtinId="8" hidden="1"/>
    <cellStyle name="Hyperlink" xfId="879" builtinId="8" hidden="1"/>
    <cellStyle name="Hyperlink" xfId="881" builtinId="8" hidden="1"/>
    <cellStyle name="Hyperlink" xfId="883" builtinId="8" hidden="1"/>
    <cellStyle name="Hyperlink" xfId="885" builtinId="8" hidden="1"/>
    <cellStyle name="Hyperlink" xfId="887" builtinId="8" hidden="1"/>
    <cellStyle name="Hyperlink" xfId="889" builtinId="8" hidden="1"/>
    <cellStyle name="Hyperlink" xfId="891" builtinId="8" hidden="1"/>
    <cellStyle name="Hyperlink" xfId="893" builtinId="8" hidden="1"/>
    <cellStyle name="Hyperlink" xfId="895" builtinId="8" hidden="1"/>
    <cellStyle name="Hyperlink" xfId="897" builtinId="8" hidden="1"/>
    <cellStyle name="Hyperlink" xfId="899" builtinId="8" hidden="1"/>
    <cellStyle name="Hyperlink" xfId="901" builtinId="8" hidden="1"/>
    <cellStyle name="Hyperlink" xfId="903" builtinId="8" hidden="1"/>
    <cellStyle name="Hyperlink" xfId="905" builtinId="8" hidden="1"/>
    <cellStyle name="Hyperlink" xfId="907" builtinId="8" hidden="1"/>
    <cellStyle name="Hyperlink" xfId="909" builtinId="8" hidden="1"/>
    <cellStyle name="Hyperlink" xfId="911" builtinId="8" hidden="1"/>
    <cellStyle name="Hyperlink" xfId="913" builtinId="8" hidden="1"/>
    <cellStyle name="Hyperlink" xfId="915" builtinId="8" hidden="1"/>
    <cellStyle name="Hyperlink" xfId="917" builtinId="8" hidden="1"/>
    <cellStyle name="Hyperlink" xfId="919" builtinId="8" hidden="1"/>
    <cellStyle name="Hyperlink" xfId="921" builtinId="8" hidden="1"/>
    <cellStyle name="Hyperlink" xfId="923" builtinId="8" hidden="1"/>
    <cellStyle name="Hyperlink" xfId="925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35" builtinId="8" hidden="1"/>
    <cellStyle name="Hyperlink" xfId="937" builtinId="8" hidden="1"/>
    <cellStyle name="Hyperlink" xfId="939" builtinId="8" hidden="1"/>
    <cellStyle name="Hyperlink" xfId="941" builtinId="8" hidden="1"/>
    <cellStyle name="Hyperlink" xfId="943" builtinId="8" hidden="1"/>
    <cellStyle name="Hyperlink" xfId="945" builtinId="8" hidden="1"/>
    <cellStyle name="Hyperlink" xfId="957" builtinId="8" hidden="1"/>
    <cellStyle name="Hyperlink" xfId="959" builtinId="8" hidden="1"/>
    <cellStyle name="Hyperlink" xfId="961" builtinId="8" hidden="1"/>
    <cellStyle name="Hyperlink" xfId="963" builtinId="8" hidden="1"/>
    <cellStyle name="Hyperlink" xfId="965" builtinId="8" hidden="1"/>
    <cellStyle name="Hyperlink" xfId="967" builtinId="8" hidden="1"/>
    <cellStyle name="Hyperlink" xfId="969" builtinId="8" hidden="1"/>
    <cellStyle name="Hyperlink" xfId="971" builtinId="8" hidden="1"/>
    <cellStyle name="Hyperlink" xfId="973" builtinId="8" hidden="1"/>
    <cellStyle name="Hyperlink" xfId="975" builtinId="8" hidden="1"/>
    <cellStyle name="Hyperlink" xfId="977" builtinId="8" hidden="1"/>
    <cellStyle name="Hyperlink" xfId="979" builtinId="8" hidden="1"/>
    <cellStyle name="Hyperlink" xfId="981" builtinId="8" hidden="1"/>
    <cellStyle name="Hyperlink" xfId="983" builtinId="8" hidden="1"/>
    <cellStyle name="Hyperlink" xfId="985" builtinId="8" hidden="1"/>
    <cellStyle name="Hyperlink" xfId="987" builtinId="8" hidden="1"/>
    <cellStyle name="Hyperlink" xfId="989" builtinId="8" hidden="1"/>
    <cellStyle name="Hyperlink" xfId="991" builtinId="8" hidden="1"/>
    <cellStyle name="Hyperlink" xfId="993" builtinId="8" hidden="1"/>
    <cellStyle name="Hyperlink" xfId="995" builtinId="8" hidden="1"/>
    <cellStyle name="Hyperlink" xfId="997" builtinId="8" hidden="1"/>
    <cellStyle name="Hyperlink" xfId="999" builtinId="8" hidden="1"/>
    <cellStyle name="Hyperlink" xfId="1001" builtinId="8" hidden="1"/>
    <cellStyle name="Hyperlink" xfId="1003" builtinId="8" hidden="1"/>
    <cellStyle name="Hyperlink" xfId="1005" builtinId="8" hidden="1"/>
    <cellStyle name="Hyperlink" xfId="1007" builtinId="8" hidden="1"/>
    <cellStyle name="Hyperlink" xfId="1009" builtinId="8" hidden="1"/>
    <cellStyle name="Hyperlink" xfId="1011" builtinId="8" hidden="1"/>
    <cellStyle name="Hyperlink" xfId="1013" builtinId="8" hidden="1"/>
    <cellStyle name="Hyperlink" xfId="1015" builtinId="8" hidden="1"/>
    <cellStyle name="Hyperlink" xfId="1017" builtinId="8" hidden="1"/>
    <cellStyle name="Hyperlink" xfId="1019" builtinId="8" hidden="1"/>
    <cellStyle name="Hyperlink" xfId="1021" builtinId="8" hidden="1"/>
    <cellStyle name="Hyperlink" xfId="1023" builtinId="8" hidden="1"/>
    <cellStyle name="Hyperlink" xfId="1025" builtinId="8" hidden="1"/>
    <cellStyle name="Hyperlink" xfId="1027" builtinId="8" hidden="1"/>
    <cellStyle name="Hyperlink" xfId="1029" builtinId="8" hidden="1"/>
    <cellStyle name="Hyperlink" xfId="1031" builtinId="8" hidden="1"/>
    <cellStyle name="Hyperlink" xfId="1033" builtinId="8" hidden="1"/>
    <cellStyle name="Hyperlink" xfId="1035" builtinId="8" hidden="1"/>
    <cellStyle name="Hyperlink" xfId="1037" builtinId="8" hidden="1"/>
    <cellStyle name="Hyperlink" xfId="1039" builtinId="8" hidden="1"/>
    <cellStyle name="Hyperlink" xfId="1041" builtinId="8" hidden="1"/>
    <cellStyle name="Hyperlink" xfId="1043" builtinId="8" hidden="1"/>
    <cellStyle name="Hyperlink" xfId="1045" builtinId="8" hidden="1"/>
    <cellStyle name="Hyperlink" xfId="1047" builtinId="8" hidden="1"/>
    <cellStyle name="Hyperlink" xfId="1049" builtinId="8" hidden="1"/>
    <cellStyle name="Hyperlink" xfId="1051" builtinId="8" hidden="1"/>
    <cellStyle name="Hyperlink" xfId="1053" builtinId="8" hidden="1"/>
    <cellStyle name="Hyperlink" xfId="1055" builtinId="8" hidden="1"/>
    <cellStyle name="Hyperlink" xfId="1057" builtinId="8" hidden="1"/>
    <cellStyle name="Hyperlink" xfId="1059" builtinId="8" hidden="1"/>
    <cellStyle name="Hyperlink" xfId="1061" builtinId="8" hidden="1"/>
    <cellStyle name="Hyperlink" xfId="1063" builtinId="8" hidden="1"/>
    <cellStyle name="Hyperlink" xfId="1065" builtinId="8" hidden="1"/>
    <cellStyle name="Hyperlink" xfId="1067" builtinId="8" hidden="1"/>
    <cellStyle name="Hyperlink" xfId="1069" builtinId="8" hidden="1"/>
    <cellStyle name="Hyperlink" xfId="1071" builtinId="8" hidden="1"/>
    <cellStyle name="Hyperlink" xfId="1073" builtinId="8" hidden="1"/>
    <cellStyle name="Hyperlink" xfId="1075" builtinId="8" hidden="1"/>
    <cellStyle name="Hyperlink" xfId="1077" builtinId="8" hidden="1"/>
    <cellStyle name="Hyperlink" xfId="1079" builtinId="8" hidden="1"/>
    <cellStyle name="Hyperlink" xfId="1081" builtinId="8" hidden="1"/>
    <cellStyle name="Hyperlink" xfId="1083" builtinId="8" hidden="1"/>
    <cellStyle name="Hyperlink" xfId="1085" builtinId="8" hidden="1"/>
    <cellStyle name="Hyperlink" xfId="1087" builtinId="8" hidden="1"/>
    <cellStyle name="Hyperlink" xfId="1089" builtinId="8" hidden="1"/>
    <cellStyle name="Hyperlink" xfId="1091" builtinId="8" hidden="1"/>
    <cellStyle name="Hyperlink" xfId="1093" builtinId="8" hidden="1"/>
    <cellStyle name="Hyperlink" xfId="1095" builtinId="8" hidden="1"/>
    <cellStyle name="Hyperlink" xfId="1097" builtinId="8" hidden="1"/>
    <cellStyle name="Hyperlink" xfId="1099" builtinId="8" hidden="1"/>
    <cellStyle name="Hyperlink" xfId="1101" builtinId="8" hidden="1"/>
    <cellStyle name="Hyperlink" xfId="1103" builtinId="8" hidden="1"/>
    <cellStyle name="Hyperlink" xfId="1105" builtinId="8" hidden="1"/>
    <cellStyle name="Hyperlink" xfId="1107" builtinId="8" hidden="1"/>
    <cellStyle name="Hyperlink" xfId="1109" builtinId="8" hidden="1"/>
    <cellStyle name="Hyperlink" xfId="1111" builtinId="8" hidden="1"/>
    <cellStyle name="Hyperlink" xfId="1113" builtinId="8" hidden="1"/>
    <cellStyle name="Hyperlink" xfId="1115" builtinId="8" hidden="1"/>
    <cellStyle name="Hyperlink" xfId="1117" builtinId="8" hidden="1"/>
    <cellStyle name="Hyperlink" xfId="1119" builtinId="8" hidden="1"/>
    <cellStyle name="Hyperlink" xfId="1121" builtinId="8" hidden="1"/>
    <cellStyle name="Hyperlink" xfId="1123" builtinId="8" hidden="1"/>
    <cellStyle name="Hyperlink" xfId="1125" builtinId="8" hidden="1"/>
    <cellStyle name="Hyperlink" xfId="1127" builtinId="8" hidden="1"/>
    <cellStyle name="Hyperlink" xfId="1129" builtinId="8" hidden="1"/>
    <cellStyle name="Hyperlink" xfId="1131" builtinId="8" hidden="1"/>
    <cellStyle name="Hyperlink" xfId="1133" builtinId="8" hidden="1"/>
    <cellStyle name="Hyperlink" xfId="1135" builtinId="8" hidden="1"/>
    <cellStyle name="Hyperlink" xfId="1137" builtinId="8" hidden="1"/>
    <cellStyle name="Hyperlink" xfId="1139" builtinId="8" hidden="1"/>
    <cellStyle name="Hyperlink" xfId="1141" builtinId="8" hidden="1"/>
    <cellStyle name="Hyperlink" xfId="1143" builtinId="8" hidden="1"/>
    <cellStyle name="Hyperlink" xfId="1145" builtinId="8" hidden="1"/>
    <cellStyle name="Hyperlink" xfId="1147" builtinId="8" hidden="1"/>
    <cellStyle name="Hyperlink" xfId="1149" builtinId="8" hidden="1"/>
    <cellStyle name="Hyperlink" xfId="1151" builtinId="8" hidden="1"/>
    <cellStyle name="Hyperlink" xfId="1153" builtinId="8" hidden="1"/>
    <cellStyle name="Hyperlink" xfId="1155" builtinId="8" hidden="1"/>
    <cellStyle name="Hyperlink" xfId="1158" builtinId="8" hidden="1"/>
    <cellStyle name="Hyperlink" xfId="1160" builtinId="8" hidden="1"/>
    <cellStyle name="Hyperlink" xfId="1162" builtinId="8" hidden="1"/>
    <cellStyle name="Hyperlink" xfId="1164" builtinId="8" hidden="1"/>
    <cellStyle name="Hyperlink" xfId="1166" builtinId="8" hidden="1"/>
    <cellStyle name="Hyperlink" xfId="1168" builtinId="8" hidden="1"/>
    <cellStyle name="Hyperlink" xfId="1170" builtinId="8" hidden="1"/>
    <cellStyle name="Hyperlink" xfId="1172" builtinId="8" hidden="1"/>
    <cellStyle name="Hyperlink" xfId="1174" builtinId="8" hidden="1"/>
    <cellStyle name="Hyperlink" xfId="1176" builtinId="8" hidden="1"/>
    <cellStyle name="Hyperlink" xfId="1178" builtinId="8" hidden="1"/>
    <cellStyle name="Hyperlink" xfId="1180" builtinId="8" hidden="1"/>
    <cellStyle name="Hyperlink" xfId="1182" builtinId="8" hidden="1"/>
    <cellStyle name="Hyperlink" xfId="1184" builtinId="8" hidden="1"/>
    <cellStyle name="Hyperlink" xfId="1186" builtinId="8" hidden="1"/>
    <cellStyle name="Hyperlink" xfId="1188" builtinId="8" hidden="1"/>
    <cellStyle name="Hyperlink" xfId="1190" builtinId="8" hidden="1"/>
    <cellStyle name="Hyperlink" xfId="1192" builtinId="8" hidden="1"/>
    <cellStyle name="Hyperlink" xfId="1194" builtinId="8" hidden="1"/>
    <cellStyle name="Hyperlink" xfId="1196" builtinId="8" hidden="1"/>
    <cellStyle name="Hyperlink" xfId="1198" builtinId="8" hidden="1"/>
    <cellStyle name="Hyperlink" xfId="1200" builtinId="8" hidden="1"/>
    <cellStyle name="Hyperlink" xfId="1202" builtinId="8" hidden="1"/>
    <cellStyle name="Hyperlink" xfId="1204" builtinId="8" hidden="1"/>
    <cellStyle name="Hyperlink" xfId="1206" builtinId="8" hidden="1"/>
    <cellStyle name="Hyperlink" xfId="1208" builtinId="8" hidden="1"/>
    <cellStyle name="Hyperlink" xfId="1210" builtinId="8" hidden="1"/>
    <cellStyle name="Hyperlink" xfId="1212" builtinId="8" hidden="1"/>
    <cellStyle name="Hyperlink" xfId="1214" builtinId="8" hidden="1"/>
    <cellStyle name="Hyperlink" xfId="1216" builtinId="8" hidden="1"/>
    <cellStyle name="Hyperlink" xfId="1218" builtinId="8" hidden="1"/>
    <cellStyle name="Hyperlink" xfId="1220" builtinId="8" hidden="1"/>
    <cellStyle name="Hyperlink" xfId="1222" builtinId="8" hidden="1"/>
    <cellStyle name="Hyperlink" xfId="1224" builtinId="8" hidden="1"/>
    <cellStyle name="Hyperlink" xfId="1226" builtinId="8" hidden="1"/>
    <cellStyle name="Hyperlink" xfId="1228" builtinId="8" hidden="1"/>
    <cellStyle name="Hyperlink" xfId="1230" builtinId="8" hidden="1"/>
    <cellStyle name="Hyperlink" xfId="1232" builtinId="8" hidden="1"/>
    <cellStyle name="Hyperlink" xfId="1234" builtinId="8" hidden="1"/>
    <cellStyle name="Hyperlink" xfId="1236" builtinId="8" hidden="1"/>
    <cellStyle name="Hyperlink" xfId="1238" builtinId="8" hidden="1"/>
    <cellStyle name="Hyperlink" xfId="1240" builtinId="8" hidden="1"/>
    <cellStyle name="Hyperlink" xfId="1242" builtinId="8" hidden="1"/>
    <cellStyle name="Hyperlink" xfId="1244" builtinId="8" hidden="1"/>
    <cellStyle name="Hyperlink" xfId="1246" builtinId="8" hidden="1"/>
    <cellStyle name="Hyperlink" xfId="1248" builtinId="8" hidden="1"/>
    <cellStyle name="Hyperlink" xfId="1250" builtinId="8" hidden="1"/>
    <cellStyle name="Hyperlink" xfId="1252" builtinId="8" hidden="1"/>
    <cellStyle name="Hyperlink" xfId="1254" builtinId="8" hidden="1"/>
    <cellStyle name="Hyperlink" xfId="1256" builtinId="8" hidden="1"/>
    <cellStyle name="Hyperlink" xfId="1258" builtinId="8" hidden="1"/>
    <cellStyle name="Hyperlink" xfId="1260" builtinId="8" hidden="1"/>
    <cellStyle name="Hyperlink" xfId="1262" builtinId="8" hidden="1"/>
    <cellStyle name="Hyperlink" xfId="1264" builtinId="8" hidden="1"/>
    <cellStyle name="Hyperlink" xfId="1266" builtinId="8" hidden="1"/>
    <cellStyle name="Hyperlink" xfId="1268" builtinId="8" hidden="1"/>
    <cellStyle name="Hyperlink" xfId="1270" builtinId="8" hidden="1"/>
    <cellStyle name="Hyperlink" xfId="1272" builtinId="8" hidden="1"/>
    <cellStyle name="Hyperlink" xfId="1274" builtinId="8" hidden="1"/>
    <cellStyle name="Hyperlink" xfId="1276" builtinId="8" hidden="1"/>
    <cellStyle name="Hyperlink" xfId="1278" builtinId="8" hidden="1"/>
    <cellStyle name="Hyperlink" xfId="1280" builtinId="8" hidden="1"/>
    <cellStyle name="Hyperlink" xfId="1282" builtinId="8" hidden="1"/>
    <cellStyle name="Hyperlink" xfId="1284" builtinId="8" hidden="1"/>
    <cellStyle name="Income" xfId="67"/>
    <cellStyle name="Label" xfId="68"/>
    <cellStyle name="ManDays" xfId="861"/>
    <cellStyle name="Market" xfId="812"/>
    <cellStyle name="Normal" xfId="0" builtinId="0"/>
    <cellStyle name="Percent" xfId="1157" builtinId="5"/>
    <cellStyle name="Population" xfId="164"/>
    <cellStyle name="Quality" xfId="219"/>
    <cellStyle name="Timber" xfId="74"/>
    <cellStyle name="Tithe" xfId="50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externalLink" Target="externalLinks/externalLink1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1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&amp;P/New%20Cultur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shboard"/>
      <sheetName val="Production"/>
      <sheetName val="Crafting &amp; Trade"/>
      <sheetName val="Expenses"/>
      <sheetName val="Convert"/>
      <sheetName val="Info"/>
    </sheetNames>
    <sheetDataSet>
      <sheetData sheetId="0"/>
      <sheetData sheetId="1"/>
      <sheetData sheetId="2"/>
      <sheetData sheetId="3"/>
      <sheetData sheetId="4"/>
      <sheetData sheetId="5">
        <row r="3">
          <cell r="F3">
            <v>0.25</v>
          </cell>
        </row>
        <row r="6">
          <cell r="F6">
            <v>0.36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Relationship Id="rId2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Relationship Id="rId2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Relationship Id="rId2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Relationship Id="rId2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Relationship Id="rId2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>
    <tabColor theme="4" tint="-0.499984740745262"/>
  </sheetPr>
  <dimension ref="A1:T33"/>
  <sheetViews>
    <sheetView showGridLines="0" workbookViewId="0">
      <selection activeCell="A3" sqref="A3"/>
    </sheetView>
  </sheetViews>
  <sheetFormatPr baseColWidth="10" defaultRowHeight="15" x14ac:dyDescent="0"/>
  <cols>
    <col min="1" max="1" width="16.5" customWidth="1"/>
    <col min="2" max="2" width="19" customWidth="1"/>
    <col min="3" max="3" width="13.83203125" customWidth="1"/>
    <col min="4" max="4" width="12.83203125" customWidth="1"/>
    <col min="6" max="6" width="14.5" customWidth="1"/>
    <col min="7" max="7" width="13.33203125" customWidth="1"/>
    <col min="9" max="9" width="14.5" customWidth="1"/>
    <col min="12" max="12" width="13.6640625" customWidth="1"/>
    <col min="13" max="13" width="14.33203125" customWidth="1"/>
    <col min="14" max="14" width="12.5" customWidth="1"/>
    <col min="15" max="15" width="2.6640625" customWidth="1"/>
    <col min="16" max="20" width="6.1640625" customWidth="1"/>
  </cols>
  <sheetData>
    <row r="1" spans="1:20" ht="30">
      <c r="A1" s="24" t="s">
        <v>40</v>
      </c>
      <c r="C1" s="226">
        <f>(GNI+OWNER)/1000</f>
        <v>9.1620000000000008</v>
      </c>
      <c r="D1" s="136">
        <v>2.7</v>
      </c>
      <c r="F1" s="24" t="s">
        <v>41</v>
      </c>
      <c r="L1" s="24" t="s">
        <v>44</v>
      </c>
    </row>
    <row r="2" spans="1:20" ht="17">
      <c r="A2" s="38" t="s">
        <v>64</v>
      </c>
      <c r="B2" s="39" t="s">
        <v>37</v>
      </c>
      <c r="C2" s="40" t="s">
        <v>24</v>
      </c>
      <c r="D2" s="176" t="s">
        <v>358</v>
      </c>
      <c r="F2" s="38" t="s">
        <v>13</v>
      </c>
      <c r="G2" s="39" t="s">
        <v>76</v>
      </c>
      <c r="H2" s="39" t="s">
        <v>77</v>
      </c>
      <c r="I2" s="40" t="s">
        <v>79</v>
      </c>
    </row>
    <row r="3" spans="1:20" ht="17">
      <c r="A3" s="59">
        <v>19848</v>
      </c>
      <c r="B3" s="54">
        <v>0.25</v>
      </c>
      <c r="C3" s="41">
        <f>GOVPOP</f>
        <v>1625</v>
      </c>
      <c r="F3" s="63">
        <f>SUPPORT+Expenses!F1+H7+M4</f>
        <v>-3534.7479999999991</v>
      </c>
      <c r="G3" s="64">
        <f>WOOD</f>
        <v>13120</v>
      </c>
      <c r="H3" s="64">
        <f>STONE</f>
        <v>2700</v>
      </c>
      <c r="I3" s="41">
        <f>HORSES+INT(CAVALRY*0.02)</f>
        <v>14</v>
      </c>
      <c r="L3" s="25" t="s">
        <v>45</v>
      </c>
      <c r="M3" s="135" t="s">
        <v>143</v>
      </c>
      <c r="N3" s="26" t="s">
        <v>46</v>
      </c>
    </row>
    <row r="4" spans="1:20" ht="17">
      <c r="A4" s="42"/>
      <c r="B4" s="179">
        <f>INT(CIVILIANS*CHILD_MARGIN+GOVPOP*0.5-MILPOP*0.25+0.9)</f>
        <v>5445</v>
      </c>
      <c r="C4" s="76">
        <f>CIVILIANS+CIVILIANS*B3+SLAVES</f>
        <v>24810</v>
      </c>
      <c r="D4" s="93" t="s">
        <v>168</v>
      </c>
      <c r="F4" s="65">
        <v>0</v>
      </c>
      <c r="G4" s="170">
        <f>Inventory!C3</f>
        <v>32850</v>
      </c>
      <c r="H4" s="170">
        <f>Inventory!B3</f>
        <v>49181</v>
      </c>
      <c r="I4" s="66" t="s">
        <v>78</v>
      </c>
      <c r="L4" s="53">
        <v>1</v>
      </c>
      <c r="M4" s="4">
        <v>0</v>
      </c>
      <c r="N4" s="54">
        <v>1.5</v>
      </c>
    </row>
    <row r="5" spans="1:20" ht="17">
      <c r="A5" s="58" t="s">
        <v>10</v>
      </c>
      <c r="B5" s="29"/>
      <c r="C5" s="85" t="s">
        <v>92</v>
      </c>
      <c r="D5" s="177">
        <f>C3+Income!C18</f>
        <v>3852</v>
      </c>
      <c r="F5" s="42"/>
      <c r="G5" s="29"/>
      <c r="H5" s="29"/>
      <c r="I5" s="43"/>
    </row>
    <row r="6" spans="1:20" ht="17">
      <c r="A6" s="4">
        <v>0</v>
      </c>
      <c r="B6" s="29"/>
      <c r="C6" s="95">
        <v>0.02</v>
      </c>
      <c r="D6" s="238">
        <f>D5/TOTALPOP</f>
        <v>0.14310127052529906</v>
      </c>
      <c r="F6" s="67" t="s">
        <v>83</v>
      </c>
      <c r="G6" s="69" t="s">
        <v>84</v>
      </c>
      <c r="H6" s="62" t="s">
        <v>81</v>
      </c>
      <c r="I6" s="70" t="s">
        <v>82</v>
      </c>
      <c r="L6" s="274" t="s">
        <v>145</v>
      </c>
      <c r="M6" s="275"/>
      <c r="N6" s="276"/>
    </row>
    <row r="7" spans="1:20">
      <c r="A7" s="42"/>
      <c r="B7" s="29"/>
      <c r="C7" s="86">
        <f>CIVILIANS*C6+GOVPOP*C6/2</f>
        <v>413.21000000000004</v>
      </c>
      <c r="F7" s="71">
        <v>20</v>
      </c>
      <c r="G7" s="72">
        <v>450</v>
      </c>
      <c r="H7" s="73">
        <f>(F7+G7)*USES</f>
        <v>-470</v>
      </c>
      <c r="I7" s="74">
        <f>(F7+G7)/25*YEARGOLD*1.1</f>
        <v>6.2039999999999997</v>
      </c>
      <c r="L7" s="274"/>
      <c r="M7" s="275"/>
      <c r="N7" s="276"/>
    </row>
    <row r="8" spans="1:20" ht="24">
      <c r="A8" s="296" t="s">
        <v>38</v>
      </c>
      <c r="B8" s="294"/>
      <c r="C8" s="297"/>
      <c r="F8" s="301"/>
      <c r="G8" s="301"/>
      <c r="H8" s="301"/>
      <c r="I8" s="301"/>
      <c r="L8" s="274"/>
      <c r="M8" s="275"/>
      <c r="N8" s="276"/>
    </row>
    <row r="9" spans="1:20" ht="25">
      <c r="A9" s="298">
        <f>CIVILIANS+B4+C3+SLAVES</f>
        <v>26918</v>
      </c>
      <c r="B9" s="299"/>
      <c r="C9" s="300"/>
      <c r="F9" s="3" t="s">
        <v>114</v>
      </c>
      <c r="H9" s="16">
        <f>OWNER+(Income!F12+Income!F13)*TAXRATE</f>
        <v>1944.6</v>
      </c>
      <c r="I9" s="133">
        <f>INT(H9/100+0.5)/10</f>
        <v>1.9</v>
      </c>
      <c r="L9" s="277"/>
      <c r="M9" s="278"/>
      <c r="N9" s="279"/>
    </row>
    <row r="10" spans="1:20">
      <c r="F10" s="3" t="s">
        <v>144</v>
      </c>
      <c r="H10" s="16">
        <f>IF(B17&gt;0,"",B17)</f>
        <v>-883.6869999999999</v>
      </c>
      <c r="I10" s="133">
        <f>IF(H10&gt;=0,"",INT(H10/-100/1.25+0.5)/10)</f>
        <v>0.7</v>
      </c>
    </row>
    <row r="12" spans="1:20" ht="30">
      <c r="A12" s="24" t="s">
        <v>47</v>
      </c>
      <c r="F12" s="24" t="s">
        <v>14</v>
      </c>
      <c r="L12" s="24" t="s">
        <v>93</v>
      </c>
      <c r="P12" s="273">
        <f>P14+Q14*2+R14*4+S14*10+P16+Q16*4+R16*10+P18+Q18*2+R18*4+S18*10+T18*20</f>
        <v>3.55</v>
      </c>
      <c r="Q12" s="273"/>
      <c r="R12" s="273"/>
    </row>
    <row r="13" spans="1:20" ht="17" customHeight="1">
      <c r="A13" s="28" t="s">
        <v>11</v>
      </c>
      <c r="B13" s="44" t="s">
        <v>2</v>
      </c>
      <c r="C13" s="45" t="s">
        <v>39</v>
      </c>
      <c r="D13" s="62" t="s">
        <v>172</v>
      </c>
      <c r="F13" s="77" t="s">
        <v>85</v>
      </c>
      <c r="G13" s="78" t="s">
        <v>16</v>
      </c>
      <c r="H13" s="79" t="s">
        <v>86</v>
      </c>
      <c r="L13" s="88" t="s">
        <v>3</v>
      </c>
      <c r="M13" s="286" t="s">
        <v>98</v>
      </c>
      <c r="N13" s="287"/>
      <c r="O13" s="219"/>
      <c r="P13" s="220"/>
      <c r="Q13" s="220" t="s">
        <v>327</v>
      </c>
      <c r="R13" s="220" t="s">
        <v>326</v>
      </c>
      <c r="S13" s="220" t="s">
        <v>325</v>
      </c>
    </row>
    <row r="14" spans="1:20">
      <c r="A14" s="95">
        <v>0.2</v>
      </c>
      <c r="B14" s="27">
        <f>GNI*TAXRATE+OWNER*TAXRATE</f>
        <v>1832.4</v>
      </c>
      <c r="C14" s="35">
        <f>OWNER-OWNER*TAXRATE</f>
        <v>1440</v>
      </c>
      <c r="D14" s="81">
        <v>17137</v>
      </c>
      <c r="F14" s="80">
        <f>FOOTMEN</f>
        <v>816</v>
      </c>
      <c r="G14" s="68">
        <f>CAVALRY</f>
        <v>230</v>
      </c>
      <c r="H14" s="41">
        <f>ARCHERS</f>
        <v>272</v>
      </c>
      <c r="I14" s="217" t="s">
        <v>186</v>
      </c>
      <c r="L14" s="89">
        <f>CROPLAND_HEX</f>
        <v>0.71965000000000001</v>
      </c>
      <c r="M14" s="288"/>
      <c r="N14" s="289"/>
      <c r="O14" s="221"/>
      <c r="P14" s="222"/>
      <c r="Q14" s="222">
        <v>0.72</v>
      </c>
      <c r="R14" s="222"/>
      <c r="S14" s="225"/>
    </row>
    <row r="15" spans="1:20" ht="15" customHeight="1">
      <c r="A15" s="31"/>
      <c r="B15" s="29"/>
      <c r="C15" s="30"/>
      <c r="D15" s="216">
        <f>INT((D14+A20)/10)*10</f>
        <v>16830</v>
      </c>
      <c r="F15" s="4">
        <v>0</v>
      </c>
      <c r="G15" s="4">
        <v>0</v>
      </c>
      <c r="H15" s="4">
        <v>0</v>
      </c>
      <c r="I15" s="4">
        <v>120</v>
      </c>
      <c r="L15" s="90" t="s">
        <v>94</v>
      </c>
      <c r="M15" s="288" t="s">
        <v>95</v>
      </c>
      <c r="N15" s="289"/>
      <c r="O15" s="11"/>
      <c r="P15" s="224"/>
      <c r="Q15" s="224" t="s">
        <v>328</v>
      </c>
      <c r="R15" s="224" t="s">
        <v>329</v>
      </c>
      <c r="T15" s="223"/>
    </row>
    <row r="16" spans="1:20" ht="24">
      <c r="A16" s="32" t="s">
        <v>24</v>
      </c>
      <c r="B16" s="33" t="s">
        <v>43</v>
      </c>
      <c r="C16" s="83" t="s">
        <v>67</v>
      </c>
      <c r="F16" s="296" t="s">
        <v>88</v>
      </c>
      <c r="G16" s="294"/>
      <c r="H16" s="297"/>
      <c r="I16" s="228" t="str">
        <f>MILPOP-DEPLOYED &amp; " remaining"</f>
        <v>1198 remaining</v>
      </c>
      <c r="L16" s="89">
        <f>WILDS_HEX+((F7+G7)*5/WILDHEXES)</f>
        <v>1.1339999999999999</v>
      </c>
      <c r="M16" s="288"/>
      <c r="N16" s="289"/>
      <c r="P16" s="222">
        <v>1.1299999999999999</v>
      </c>
      <c r="Q16" s="222"/>
      <c r="R16" s="222"/>
    </row>
    <row r="17" spans="1:20" ht="25" customHeight="1">
      <c r="A17" s="34">
        <f>-1*Expenses!E1-I7</f>
        <v>-3203.1790000000001</v>
      </c>
      <c r="B17" s="27">
        <f>IF(F4+F3&lt;0, (F3+F4)*SUPPORT_COST*1.25,0)</f>
        <v>-883.6869999999999</v>
      </c>
      <c r="C17" s="84">
        <f>SUM(F21:F33)</f>
        <v>514.79999999999995</v>
      </c>
      <c r="F17" s="298">
        <f>F14+G14+H14</f>
        <v>1318</v>
      </c>
      <c r="G17" s="299"/>
      <c r="H17" s="300"/>
      <c r="I17" s="236">
        <f>INT(TOTALPOP*0.04/100+0.75)*100</f>
        <v>1100</v>
      </c>
      <c r="L17" s="90" t="s">
        <v>6</v>
      </c>
      <c r="M17" s="288" t="s">
        <v>96</v>
      </c>
      <c r="N17" s="289"/>
      <c r="O17" s="87"/>
      <c r="P17" s="220"/>
      <c r="Q17" s="220" t="s">
        <v>327</v>
      </c>
      <c r="R17" s="220" t="s">
        <v>330</v>
      </c>
      <c r="S17" s="220" t="s">
        <v>331</v>
      </c>
      <c r="T17" s="220" t="s">
        <v>328</v>
      </c>
    </row>
    <row r="18" spans="1:20">
      <c r="A18" s="31"/>
      <c r="B18" s="133"/>
      <c r="C18" s="30"/>
      <c r="G18" s="237">
        <f>MILPOP/TOTALPOP</f>
        <v>4.8963518834980312E-2</v>
      </c>
      <c r="I18" s="237">
        <f>I17/TOTALPOP</f>
        <v>4.0864848800059438E-2</v>
      </c>
      <c r="L18" s="89">
        <f>FOREST_HEX+(TOTALPOP/WILDHEXES)</f>
        <v>0.49142428571428576</v>
      </c>
      <c r="M18" s="288"/>
      <c r="N18" s="289"/>
      <c r="P18" s="222"/>
      <c r="Q18" s="222">
        <v>0.49</v>
      </c>
      <c r="R18" s="222"/>
      <c r="S18" s="222"/>
      <c r="T18" s="222"/>
    </row>
    <row r="19" spans="1:20" ht="24">
      <c r="A19" s="293" t="str">
        <f>IF(A20&lt;0,"Net Loss","Net Income")</f>
        <v>Net Loss</v>
      </c>
      <c r="B19" s="294"/>
      <c r="C19" s="295"/>
      <c r="L19" s="91" t="s">
        <v>97</v>
      </c>
      <c r="M19" s="29"/>
      <c r="N19" s="43"/>
    </row>
    <row r="20" spans="1:20" ht="30">
      <c r="A20" s="290">
        <f>B14+C14+A17+B17+C17</f>
        <v>-299.66599999999994</v>
      </c>
      <c r="B20" s="291"/>
      <c r="C20" s="292"/>
      <c r="F20" s="24" t="s">
        <v>148</v>
      </c>
      <c r="L20" s="274"/>
      <c r="M20" s="275"/>
      <c r="N20" s="276"/>
    </row>
    <row r="21" spans="1:20">
      <c r="A21" s="99"/>
      <c r="C21" s="99" t="str">
        <f>IF(A20&lt;0,"",INT(A20/1000) &amp; " NI")</f>
        <v/>
      </c>
      <c r="F21" s="81">
        <v>-140</v>
      </c>
      <c r="G21" s="82" t="s">
        <v>91</v>
      </c>
      <c r="L21" s="274"/>
      <c r="M21" s="275"/>
      <c r="N21" s="276"/>
    </row>
    <row r="22" spans="1:20">
      <c r="B22" s="16"/>
      <c r="F22" s="81">
        <v>-20</v>
      </c>
      <c r="G22" s="82" t="s">
        <v>109</v>
      </c>
      <c r="L22" s="274"/>
      <c r="M22" s="275"/>
      <c r="N22" s="276"/>
    </row>
    <row r="23" spans="1:20">
      <c r="A23" s="280" t="s">
        <v>384</v>
      </c>
      <c r="B23" s="281"/>
      <c r="C23" s="282"/>
      <c r="F23" s="81">
        <f>'Outside Property'!D1</f>
        <v>14.8</v>
      </c>
      <c r="G23" s="82" t="s">
        <v>332</v>
      </c>
      <c r="L23" s="277"/>
      <c r="M23" s="278"/>
      <c r="N23" s="279"/>
    </row>
    <row r="24" spans="1:20">
      <c r="A24" s="280"/>
      <c r="B24" s="281"/>
      <c r="C24" s="282"/>
      <c r="F24" s="81">
        <v>220</v>
      </c>
      <c r="G24" s="82" t="s">
        <v>354</v>
      </c>
    </row>
    <row r="25" spans="1:20">
      <c r="A25" s="280"/>
      <c r="B25" s="281"/>
      <c r="C25" s="282"/>
      <c r="F25" s="81">
        <v>330</v>
      </c>
      <c r="G25" s="82" t="s">
        <v>117</v>
      </c>
    </row>
    <row r="26" spans="1:20">
      <c r="A26" s="283"/>
      <c r="B26" s="284"/>
      <c r="C26" s="285"/>
      <c r="F26" s="81">
        <v>110</v>
      </c>
      <c r="G26" s="82" t="s">
        <v>118</v>
      </c>
    </row>
    <row r="27" spans="1:20">
      <c r="A27" s="280" t="s">
        <v>353</v>
      </c>
      <c r="B27" s="281"/>
      <c r="C27" s="282"/>
      <c r="F27" s="81"/>
      <c r="G27" s="82"/>
    </row>
    <row r="28" spans="1:20">
      <c r="A28" s="280"/>
      <c r="B28" s="281"/>
      <c r="C28" s="282"/>
      <c r="F28" s="81"/>
      <c r="G28" s="132"/>
    </row>
    <row r="29" spans="1:20">
      <c r="A29" s="280"/>
      <c r="B29" s="281"/>
      <c r="C29" s="282"/>
      <c r="F29" s="81"/>
      <c r="G29" s="132"/>
    </row>
    <row r="30" spans="1:20">
      <c r="A30" s="283"/>
      <c r="B30" s="284"/>
      <c r="C30" s="285"/>
      <c r="F30" s="81"/>
      <c r="G30" s="132"/>
    </row>
    <row r="31" spans="1:20">
      <c r="F31" s="81"/>
      <c r="G31" s="132"/>
    </row>
    <row r="32" spans="1:20">
      <c r="F32" s="81"/>
      <c r="G32" s="132"/>
    </row>
    <row r="33" spans="6:7">
      <c r="F33" s="81"/>
      <c r="G33" s="132"/>
    </row>
  </sheetData>
  <sheetProtection sheet="1" objects="1" scenarios="1" selectLockedCells="1"/>
  <mergeCells count="15">
    <mergeCell ref="P12:R12"/>
    <mergeCell ref="L6:N9"/>
    <mergeCell ref="A23:C26"/>
    <mergeCell ref="A27:C30"/>
    <mergeCell ref="M13:N14"/>
    <mergeCell ref="M17:N18"/>
    <mergeCell ref="M15:N16"/>
    <mergeCell ref="L20:N23"/>
    <mergeCell ref="A20:C20"/>
    <mergeCell ref="A19:C19"/>
    <mergeCell ref="A8:C8"/>
    <mergeCell ref="A9:C9"/>
    <mergeCell ref="F16:H16"/>
    <mergeCell ref="F17:H17"/>
    <mergeCell ref="F8:I8"/>
  </mergeCells>
  <conditionalFormatting sqref="A19">
    <cfRule type="expression" dxfId="3" priority="5">
      <formula>IF($A$20&lt;0,1,0)</formula>
    </cfRule>
  </conditionalFormatting>
  <conditionalFormatting sqref="F15">
    <cfRule type="expression" dxfId="2" priority="3">
      <formula>$F$15&gt;$F$14</formula>
    </cfRule>
  </conditionalFormatting>
  <conditionalFormatting sqref="G15">
    <cfRule type="expression" dxfId="1" priority="2">
      <formula>$G$15&gt;$G$14</formula>
    </cfRule>
  </conditionalFormatting>
  <conditionalFormatting sqref="H15">
    <cfRule type="expression" dxfId="0" priority="1">
      <formula>$H$15&gt;$H$14</formula>
    </cfRule>
  </conditionalFormatting>
  <pageMargins left="0.75" right="0.75" top="1" bottom="1" header="0.5" footer="0.5"/>
  <pageSetup orientation="portrait" horizontalDpi="4294967292" verticalDpi="4294967292"/>
  <ignoredErrors>
    <ignoredError sqref="G4:H4 F23" unlockedFormula="1"/>
    <ignoredError sqref="C17 P12" emptyCellReference="1"/>
  </ignoredErrors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 enableFormatConditionsCalculation="0">
    <tabColor theme="7" tint="-0.499984740745262"/>
  </sheetPr>
  <dimension ref="A1:O27"/>
  <sheetViews>
    <sheetView showGridLines="0" workbookViewId="0">
      <selection activeCell="A3" sqref="A3"/>
    </sheetView>
  </sheetViews>
  <sheetFormatPr baseColWidth="10" defaultRowHeight="15" x14ac:dyDescent="0"/>
  <cols>
    <col min="1" max="1" width="12.83203125" customWidth="1"/>
  </cols>
  <sheetData>
    <row r="1" spans="1:15">
      <c r="A1" s="46">
        <v>0.3</v>
      </c>
      <c r="B1" s="3" t="s">
        <v>323</v>
      </c>
      <c r="O1" t="s">
        <v>87</v>
      </c>
    </row>
    <row r="2" spans="1:15">
      <c r="A2" s="46">
        <v>0.36</v>
      </c>
      <c r="B2" s="3" t="s">
        <v>322</v>
      </c>
    </row>
    <row r="3" spans="1:15">
      <c r="A3" s="46">
        <v>0.2</v>
      </c>
      <c r="B3" s="3" t="s">
        <v>58</v>
      </c>
    </row>
    <row r="4" spans="1:15">
      <c r="A4" s="46">
        <v>100000</v>
      </c>
      <c r="B4" s="3" t="s">
        <v>60</v>
      </c>
      <c r="G4" s="23" t="s">
        <v>356</v>
      </c>
    </row>
    <row r="5" spans="1:15">
      <c r="A5" s="46">
        <v>175000</v>
      </c>
      <c r="B5" s="3" t="s">
        <v>61</v>
      </c>
    </row>
    <row r="7" spans="1:15">
      <c r="A7" s="46">
        <v>1.25</v>
      </c>
      <c r="B7" s="3" t="s">
        <v>48</v>
      </c>
    </row>
    <row r="8" spans="1:15">
      <c r="A8" s="46">
        <v>5</v>
      </c>
      <c r="B8" s="3" t="s">
        <v>50</v>
      </c>
    </row>
    <row r="9" spans="1:15">
      <c r="A9" s="46">
        <v>1.1000000000000001</v>
      </c>
      <c r="B9" s="3" t="s">
        <v>49</v>
      </c>
    </row>
    <row r="10" spans="1:15">
      <c r="A10" s="46">
        <v>250</v>
      </c>
      <c r="B10" s="3" t="s">
        <v>51</v>
      </c>
    </row>
    <row r="12" spans="1:15">
      <c r="A12" s="46">
        <v>80</v>
      </c>
      <c r="B12" s="3" t="s">
        <v>319</v>
      </c>
      <c r="G12" s="23" t="s">
        <v>63</v>
      </c>
    </row>
    <row r="14" spans="1:15">
      <c r="A14" s="46">
        <v>0.8</v>
      </c>
      <c r="B14" s="3" t="s">
        <v>55</v>
      </c>
    </row>
    <row r="15" spans="1:15">
      <c r="A15" s="46">
        <v>900</v>
      </c>
      <c r="B15" s="3" t="s">
        <v>53</v>
      </c>
      <c r="G15" s="23" t="s">
        <v>320</v>
      </c>
    </row>
    <row r="16" spans="1:15">
      <c r="A16" s="47">
        <v>1.5</v>
      </c>
      <c r="B16" s="3" t="s">
        <v>54</v>
      </c>
    </row>
    <row r="17" spans="1:2">
      <c r="A17" s="47">
        <v>1.25</v>
      </c>
      <c r="B17" s="3" t="s">
        <v>146</v>
      </c>
    </row>
    <row r="19" spans="1:2">
      <c r="A19" s="47">
        <v>50</v>
      </c>
      <c r="B19" s="3" t="s">
        <v>56</v>
      </c>
    </row>
    <row r="20" spans="1:2">
      <c r="A20" s="47">
        <v>10</v>
      </c>
      <c r="B20" s="3" t="s">
        <v>57</v>
      </c>
    </row>
    <row r="22" spans="1:2">
      <c r="A22" s="47">
        <v>2.5</v>
      </c>
      <c r="B22" s="3" t="s">
        <v>152</v>
      </c>
    </row>
    <row r="23" spans="1:2">
      <c r="A23" s="47">
        <v>25</v>
      </c>
      <c r="B23" s="3" t="s">
        <v>153</v>
      </c>
    </row>
    <row r="25" spans="1:2">
      <c r="A25" s="47">
        <v>25</v>
      </c>
      <c r="B25" s="3" t="s">
        <v>116</v>
      </c>
    </row>
    <row r="27" spans="1:2">
      <c r="A27" s="47"/>
      <c r="B27" s="3"/>
    </row>
  </sheetData>
  <sheetProtection sheet="1" objects="1" scenarios="1" selectLockedCells="1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/>
  <dimension ref="A1:A20"/>
  <sheetViews>
    <sheetView workbookViewId="0">
      <selection activeCell="F23" sqref="F23"/>
    </sheetView>
  </sheetViews>
  <sheetFormatPr baseColWidth="10" defaultRowHeight="15" x14ac:dyDescent="0"/>
  <sheetData>
    <row r="1" spans="1:1">
      <c r="A1" t="s">
        <v>35</v>
      </c>
    </row>
    <row r="2" spans="1:1">
      <c r="A2" t="s">
        <v>36</v>
      </c>
    </row>
    <row r="3" spans="1:1">
      <c r="A3" t="s">
        <v>355</v>
      </c>
    </row>
    <row r="4" spans="1:1">
      <c r="A4" t="s">
        <v>147</v>
      </c>
    </row>
    <row r="5" spans="1:1">
      <c r="A5" t="s">
        <v>177</v>
      </c>
    </row>
    <row r="6" spans="1:1">
      <c r="A6" t="s">
        <v>99</v>
      </c>
    </row>
    <row r="7" spans="1:1">
      <c r="A7" t="s">
        <v>115</v>
      </c>
    </row>
    <row r="9" spans="1:1">
      <c r="A9" t="s">
        <v>151</v>
      </c>
    </row>
    <row r="10" spans="1:1">
      <c r="A10" t="s">
        <v>321</v>
      </c>
    </row>
    <row r="11" spans="1:1">
      <c r="A11" t="s">
        <v>42</v>
      </c>
    </row>
    <row r="13" spans="1:1">
      <c r="A13" t="s">
        <v>403</v>
      </c>
    </row>
    <row r="15" spans="1:1">
      <c r="A15" t="s">
        <v>139</v>
      </c>
    </row>
    <row r="18" spans="1:1">
      <c r="A18" t="s">
        <v>402</v>
      </c>
    </row>
    <row r="20" spans="1:1">
      <c r="A20" t="s">
        <v>405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 enableFormatConditionsCalculation="0">
    <tabColor theme="2" tint="-0.749992370372631"/>
  </sheetPr>
  <dimension ref="A1:U21"/>
  <sheetViews>
    <sheetView workbookViewId="0">
      <selection activeCell="J29" sqref="J29"/>
    </sheetView>
  </sheetViews>
  <sheetFormatPr baseColWidth="10" defaultRowHeight="15" x14ac:dyDescent="0"/>
  <cols>
    <col min="7" max="8" width="10.83203125" style="229"/>
    <col min="9" max="9" width="10.83203125" style="232"/>
    <col min="10" max="10" width="10.83203125" style="229"/>
    <col min="11" max="11" width="10.83203125" style="232"/>
    <col min="12" max="12" width="10.83203125" style="229"/>
    <col min="13" max="13" width="10.83203125" style="232"/>
    <col min="14" max="14" width="10.83203125" style="229"/>
    <col min="15" max="15" width="10.83203125" style="232"/>
    <col min="16" max="16" width="10.83203125" style="229"/>
    <col min="17" max="17" width="10.83203125" style="232"/>
  </cols>
  <sheetData>
    <row r="1" spans="1:21" ht="18">
      <c r="A1" s="92" t="s">
        <v>140</v>
      </c>
      <c r="B1" s="92"/>
    </row>
    <row r="2" spans="1:21">
      <c r="A2" s="96" t="s">
        <v>122</v>
      </c>
      <c r="B2" s="96"/>
      <c r="C2" s="93" t="s">
        <v>110</v>
      </c>
      <c r="D2" s="93" t="s">
        <v>105</v>
      </c>
      <c r="E2" s="93" t="s">
        <v>141</v>
      </c>
      <c r="F2" s="93"/>
      <c r="G2" s="230" t="s">
        <v>40</v>
      </c>
      <c r="H2" s="230" t="s">
        <v>168</v>
      </c>
      <c r="I2" s="233" t="s">
        <v>324</v>
      </c>
      <c r="J2" s="230" t="s">
        <v>333</v>
      </c>
      <c r="K2" s="233" t="s">
        <v>334</v>
      </c>
      <c r="L2" s="230" t="s">
        <v>279</v>
      </c>
      <c r="M2" s="233" t="s">
        <v>335</v>
      </c>
      <c r="N2" s="230" t="s">
        <v>283</v>
      </c>
      <c r="O2" s="233" t="s">
        <v>336</v>
      </c>
      <c r="P2" s="230" t="s">
        <v>400</v>
      </c>
      <c r="Q2" s="263" t="s">
        <v>401</v>
      </c>
      <c r="R2" s="251" t="s">
        <v>398</v>
      </c>
      <c r="S2" s="233" t="s">
        <v>399</v>
      </c>
      <c r="U2" s="251" t="s">
        <v>404</v>
      </c>
    </row>
    <row r="3" spans="1:21" s="262" customFormat="1">
      <c r="A3" s="255" t="s">
        <v>142</v>
      </c>
      <c r="B3" s="255"/>
      <c r="C3" s="269">
        <f>GNI/1000</f>
        <v>7.3620000000000001</v>
      </c>
      <c r="D3" s="257">
        <f>Dashboard!F3*SUPPORT_COST/1000</f>
        <v>-0.70694959999999996</v>
      </c>
      <c r="E3" s="257">
        <f>Dashboard!H9/1000</f>
        <v>1.9445999999999999</v>
      </c>
      <c r="F3" s="256"/>
      <c r="G3" s="258">
        <f>TOTALPOP</f>
        <v>26918</v>
      </c>
      <c r="H3" s="258">
        <f>Dashboard!D5</f>
        <v>3852</v>
      </c>
      <c r="I3" s="259">
        <f>H3/G3</f>
        <v>0.14310127052529906</v>
      </c>
      <c r="J3" s="258">
        <f>MILPOP</f>
        <v>1318</v>
      </c>
      <c r="K3" s="259">
        <f>J3/G3</f>
        <v>4.8963518834980312E-2</v>
      </c>
      <c r="L3" s="258">
        <f>Dashboard!I17</f>
        <v>1100</v>
      </c>
      <c r="M3" s="259">
        <f>L3/G3</f>
        <v>4.0864848800059438E-2</v>
      </c>
      <c r="N3" s="260"/>
      <c r="O3" s="261"/>
      <c r="P3" s="260"/>
      <c r="Q3" s="261"/>
    </row>
    <row r="4" spans="1:21">
      <c r="A4" s="96"/>
      <c r="B4" s="96"/>
      <c r="C4" s="93"/>
      <c r="D4" s="93"/>
      <c r="E4" s="93"/>
      <c r="F4" s="93"/>
    </row>
    <row r="5" spans="1:21" s="235" customFormat="1">
      <c r="A5" s="234" t="s">
        <v>337</v>
      </c>
      <c r="B5" s="234"/>
      <c r="C5" s="270"/>
      <c r="D5" s="270"/>
      <c r="E5" s="270"/>
      <c r="F5" s="231"/>
      <c r="G5" s="264">
        <v>1133000</v>
      </c>
      <c r="H5" s="264">
        <v>280000</v>
      </c>
      <c r="I5" s="265">
        <f t="shared" ref="I5:I14" si="0">H5/G5</f>
        <v>0.2471315092674316</v>
      </c>
      <c r="J5" s="264">
        <v>24000</v>
      </c>
      <c r="K5" s="265">
        <f t="shared" ref="K5:K14" si="1">J5/G5</f>
        <v>2.1182700794351281E-2</v>
      </c>
      <c r="L5" s="264">
        <v>24000</v>
      </c>
      <c r="M5" s="265">
        <f t="shared" ref="M5:M14" si="2">L5/G5</f>
        <v>2.1182700794351281E-2</v>
      </c>
      <c r="N5" s="264"/>
      <c r="O5" s="265"/>
      <c r="P5" s="267"/>
      <c r="Q5" s="266"/>
      <c r="R5" s="268" t="str">
        <f>IF(AND(P5="",Q5=""),"",P5*200+Q5*500)</f>
        <v/>
      </c>
      <c r="S5" s="265" t="str">
        <f>IF(R5="","",R5/G5)</f>
        <v/>
      </c>
    </row>
    <row r="6" spans="1:21">
      <c r="A6" t="s">
        <v>125</v>
      </c>
      <c r="C6" s="271">
        <v>135</v>
      </c>
      <c r="D6" s="271">
        <v>0.6</v>
      </c>
      <c r="E6" s="271">
        <v>6.8</v>
      </c>
      <c r="F6" s="134"/>
      <c r="G6" s="264">
        <v>285000</v>
      </c>
      <c r="H6" s="264">
        <v>43000</v>
      </c>
      <c r="I6" s="265">
        <f t="shared" si="0"/>
        <v>0.15087719298245614</v>
      </c>
      <c r="J6" s="264">
        <v>7800</v>
      </c>
      <c r="K6" s="265">
        <f t="shared" si="1"/>
        <v>2.736842105263158E-2</v>
      </c>
      <c r="L6" s="264">
        <v>16000</v>
      </c>
      <c r="M6" s="265">
        <f t="shared" si="2"/>
        <v>5.6140350877192984E-2</v>
      </c>
      <c r="N6" s="264"/>
      <c r="O6" s="265"/>
      <c r="P6" s="267"/>
      <c r="Q6" s="266"/>
      <c r="R6" s="268" t="str">
        <f t="shared" ref="R6:R14" si="3">IF(AND(P6="",Q6=""),"",P6*200+Q6*500)</f>
        <v/>
      </c>
      <c r="S6" s="265" t="str">
        <f t="shared" ref="S6:S14" si="4">IF(R6="","",R6/G6)</f>
        <v/>
      </c>
    </row>
    <row r="7" spans="1:21">
      <c r="A7" t="s">
        <v>128</v>
      </c>
      <c r="C7" s="271">
        <v>76</v>
      </c>
      <c r="D7" s="271">
        <v>-6.4</v>
      </c>
      <c r="E7" s="271">
        <v>-3.8</v>
      </c>
      <c r="F7" s="134"/>
      <c r="G7" s="264">
        <v>141000</v>
      </c>
      <c r="H7" s="264">
        <v>38000</v>
      </c>
      <c r="I7" s="265">
        <f t="shared" si="0"/>
        <v>0.26950354609929078</v>
      </c>
      <c r="J7" s="264">
        <v>1600</v>
      </c>
      <c r="K7" s="265">
        <f t="shared" si="1"/>
        <v>1.1347517730496455E-2</v>
      </c>
      <c r="L7" s="264">
        <v>4800</v>
      </c>
      <c r="M7" s="265">
        <f t="shared" si="2"/>
        <v>3.4042553191489362E-2</v>
      </c>
      <c r="N7" s="264">
        <v>3200</v>
      </c>
      <c r="O7" s="265">
        <f>N7/G7</f>
        <v>2.2695035460992909E-2</v>
      </c>
      <c r="P7" s="267"/>
      <c r="Q7" s="266"/>
      <c r="R7" s="268" t="str">
        <f t="shared" si="3"/>
        <v/>
      </c>
      <c r="S7" s="265" t="str">
        <f t="shared" si="4"/>
        <v/>
      </c>
    </row>
    <row r="8" spans="1:21">
      <c r="A8" t="s">
        <v>126</v>
      </c>
      <c r="C8" s="271">
        <v>146</v>
      </c>
      <c r="D8" s="271">
        <v>-1.9</v>
      </c>
      <c r="E8" s="271">
        <v>-2.9</v>
      </c>
      <c r="F8" s="134"/>
      <c r="G8" s="264">
        <v>290000</v>
      </c>
      <c r="H8" s="264">
        <v>51000</v>
      </c>
      <c r="I8" s="265">
        <f t="shared" si="0"/>
        <v>0.17586206896551723</v>
      </c>
      <c r="J8" s="264">
        <v>7200</v>
      </c>
      <c r="K8" s="265">
        <f t="shared" si="1"/>
        <v>2.4827586206896551E-2</v>
      </c>
      <c r="L8" s="264">
        <v>20800</v>
      </c>
      <c r="M8" s="265">
        <f t="shared" si="2"/>
        <v>7.1724137931034479E-2</v>
      </c>
      <c r="N8" s="264"/>
      <c r="O8" s="265"/>
      <c r="P8" s="267"/>
      <c r="Q8" s="266"/>
      <c r="R8" s="268" t="str">
        <f t="shared" si="3"/>
        <v/>
      </c>
      <c r="S8" s="265" t="str">
        <f t="shared" si="4"/>
        <v/>
      </c>
    </row>
    <row r="9" spans="1:21">
      <c r="A9" t="s">
        <v>123</v>
      </c>
      <c r="C9" s="271">
        <v>479</v>
      </c>
      <c r="D9" s="271">
        <v>13.7</v>
      </c>
      <c r="E9" s="271">
        <v>23.9</v>
      </c>
      <c r="F9" s="134"/>
      <c r="G9" s="264">
        <v>870000</v>
      </c>
      <c r="H9" s="264">
        <v>162000</v>
      </c>
      <c r="I9" s="265">
        <f t="shared" si="0"/>
        <v>0.18620689655172415</v>
      </c>
      <c r="J9" s="264">
        <v>17400</v>
      </c>
      <c r="K9" s="265">
        <f t="shared" si="1"/>
        <v>0.02</v>
      </c>
      <c r="L9" s="264">
        <v>20600</v>
      </c>
      <c r="M9" s="265">
        <f t="shared" si="2"/>
        <v>2.3678160919540229E-2</v>
      </c>
      <c r="N9" s="264"/>
      <c r="O9" s="265"/>
      <c r="P9" s="267"/>
      <c r="Q9" s="266"/>
      <c r="R9" s="268" t="str">
        <f t="shared" si="3"/>
        <v/>
      </c>
      <c r="S9" s="265" t="str">
        <f t="shared" si="4"/>
        <v/>
      </c>
    </row>
    <row r="10" spans="1:21">
      <c r="A10" t="s">
        <v>338</v>
      </c>
      <c r="C10" s="271"/>
      <c r="D10" s="271"/>
      <c r="E10" s="271"/>
      <c r="F10" s="134"/>
      <c r="G10" s="264">
        <v>280000</v>
      </c>
      <c r="H10" s="264">
        <v>65000</v>
      </c>
      <c r="I10" s="265">
        <f t="shared" si="0"/>
        <v>0.23214285714285715</v>
      </c>
      <c r="J10" s="264">
        <v>4400</v>
      </c>
      <c r="K10" s="265">
        <f t="shared" si="1"/>
        <v>1.5714285714285715E-2</v>
      </c>
      <c r="L10" s="264">
        <v>6000</v>
      </c>
      <c r="M10" s="265">
        <f t="shared" si="2"/>
        <v>2.1428571428571429E-2</v>
      </c>
      <c r="N10" s="264"/>
      <c r="O10" s="265"/>
      <c r="P10" s="267"/>
      <c r="Q10" s="266"/>
      <c r="R10" s="268" t="str">
        <f t="shared" si="3"/>
        <v/>
      </c>
      <c r="S10" s="265" t="str">
        <f t="shared" si="4"/>
        <v/>
      </c>
    </row>
    <row r="11" spans="1:21">
      <c r="A11" t="s">
        <v>339</v>
      </c>
      <c r="C11" s="271"/>
      <c r="D11" s="271"/>
      <c r="E11" s="271"/>
      <c r="F11" s="134"/>
      <c r="G11" s="264">
        <v>300000</v>
      </c>
      <c r="H11" s="264">
        <v>54000</v>
      </c>
      <c r="I11" s="265">
        <f t="shared" si="0"/>
        <v>0.18</v>
      </c>
      <c r="J11" s="264">
        <v>7600</v>
      </c>
      <c r="K11" s="265">
        <f t="shared" si="1"/>
        <v>2.5333333333333333E-2</v>
      </c>
      <c r="L11" s="264">
        <v>6400</v>
      </c>
      <c r="M11" s="265">
        <f t="shared" si="2"/>
        <v>2.1333333333333333E-2</v>
      </c>
      <c r="N11" s="264"/>
      <c r="O11" s="265"/>
      <c r="P11" s="267"/>
      <c r="Q11" s="266"/>
      <c r="R11" s="268" t="str">
        <f t="shared" si="3"/>
        <v/>
      </c>
      <c r="S11" s="265" t="str">
        <f t="shared" si="4"/>
        <v/>
      </c>
    </row>
    <row r="12" spans="1:21">
      <c r="A12" t="s">
        <v>340</v>
      </c>
      <c r="C12" s="271"/>
      <c r="D12" s="271"/>
      <c r="E12" s="271"/>
      <c r="F12" s="134"/>
      <c r="G12" s="264">
        <v>900000</v>
      </c>
      <c r="H12" s="264">
        <v>148000</v>
      </c>
      <c r="I12" s="265">
        <f t="shared" si="0"/>
        <v>0.16444444444444445</v>
      </c>
      <c r="J12" s="264">
        <v>20000</v>
      </c>
      <c r="K12" s="265">
        <f t="shared" si="1"/>
        <v>2.2222222222222223E-2</v>
      </c>
      <c r="L12" s="264">
        <v>20000</v>
      </c>
      <c r="M12" s="265">
        <f t="shared" si="2"/>
        <v>2.2222222222222223E-2</v>
      </c>
      <c r="N12" s="264"/>
      <c r="O12" s="265"/>
      <c r="P12" s="267"/>
      <c r="Q12" s="266"/>
      <c r="R12" s="268" t="str">
        <f t="shared" si="3"/>
        <v/>
      </c>
      <c r="S12" s="265" t="str">
        <f t="shared" si="4"/>
        <v/>
      </c>
    </row>
    <row r="13" spans="1:21">
      <c r="A13" t="s">
        <v>341</v>
      </c>
      <c r="C13" s="271"/>
      <c r="D13" s="271"/>
      <c r="E13" s="271"/>
      <c r="F13" s="134"/>
      <c r="G13" s="264">
        <v>2367000</v>
      </c>
      <c r="H13" s="264">
        <v>281000</v>
      </c>
      <c r="I13" s="265">
        <f t="shared" si="0"/>
        <v>0.1187156738487537</v>
      </c>
      <c r="J13" s="264">
        <v>20000</v>
      </c>
      <c r="K13" s="265">
        <f t="shared" si="1"/>
        <v>8.4495141529362053E-3</v>
      </c>
      <c r="L13" s="264">
        <v>56200</v>
      </c>
      <c r="M13" s="265">
        <f t="shared" si="2"/>
        <v>2.3743134769750738E-2</v>
      </c>
      <c r="N13" s="264"/>
      <c r="O13" s="265"/>
      <c r="P13" s="267"/>
      <c r="Q13" s="266"/>
      <c r="R13" s="268" t="str">
        <f t="shared" si="3"/>
        <v/>
      </c>
      <c r="S13" s="265" t="str">
        <f t="shared" si="4"/>
        <v/>
      </c>
    </row>
    <row r="14" spans="1:21" s="3" customFormat="1">
      <c r="A14" t="s">
        <v>127</v>
      </c>
      <c r="B14"/>
      <c r="C14" s="271">
        <v>33</v>
      </c>
      <c r="D14" s="271">
        <v>0.8</v>
      </c>
      <c r="E14" s="271">
        <v>-1.6</v>
      </c>
      <c r="F14" s="134"/>
      <c r="G14" s="264">
        <v>73000</v>
      </c>
      <c r="H14" s="264">
        <v>9000</v>
      </c>
      <c r="I14" s="265">
        <f t="shared" si="0"/>
        <v>0.12328767123287671</v>
      </c>
      <c r="J14" s="264">
        <v>2000</v>
      </c>
      <c r="K14" s="265">
        <f t="shared" si="1"/>
        <v>2.7397260273972601E-2</v>
      </c>
      <c r="L14" s="264">
        <v>6000</v>
      </c>
      <c r="M14" s="265">
        <f t="shared" si="2"/>
        <v>8.2191780821917804E-2</v>
      </c>
      <c r="N14" s="264"/>
      <c r="O14" s="265"/>
      <c r="P14" s="267"/>
      <c r="Q14" s="266"/>
      <c r="R14" s="268" t="str">
        <f t="shared" si="3"/>
        <v/>
      </c>
      <c r="S14" s="265" t="str">
        <f t="shared" si="4"/>
        <v/>
      </c>
    </row>
    <row r="16" spans="1:21">
      <c r="A16" t="s">
        <v>345</v>
      </c>
      <c r="C16" s="272"/>
      <c r="D16" s="272"/>
      <c r="E16" s="272"/>
      <c r="G16" s="264">
        <v>174000</v>
      </c>
      <c r="N16" s="264">
        <v>33000</v>
      </c>
      <c r="O16" s="265">
        <f t="shared" ref="O16:O21" si="5">N16/G16</f>
        <v>0.18965517241379309</v>
      </c>
    </row>
    <row r="17" spans="1:15">
      <c r="A17" t="s">
        <v>346</v>
      </c>
      <c r="C17" s="272"/>
      <c r="D17" s="272"/>
      <c r="E17" s="272"/>
      <c r="G17" s="264">
        <v>140000</v>
      </c>
      <c r="N17" s="264">
        <v>24000</v>
      </c>
      <c r="O17" s="265">
        <f t="shared" si="5"/>
        <v>0.17142857142857143</v>
      </c>
    </row>
    <row r="18" spans="1:15">
      <c r="A18" t="s">
        <v>202</v>
      </c>
      <c r="C18" s="272"/>
      <c r="D18" s="272"/>
      <c r="E18" s="272"/>
      <c r="G18" s="264">
        <v>80000</v>
      </c>
      <c r="J18" s="264">
        <v>2000</v>
      </c>
      <c r="K18" s="265">
        <f>J18/G18</f>
        <v>2.5000000000000001E-2</v>
      </c>
      <c r="N18" s="264">
        <v>13000</v>
      </c>
      <c r="O18" s="265">
        <f t="shared" si="5"/>
        <v>0.16250000000000001</v>
      </c>
    </row>
    <row r="19" spans="1:15">
      <c r="A19" t="s">
        <v>342</v>
      </c>
      <c r="C19" s="272"/>
      <c r="D19" s="272"/>
      <c r="E19" s="272"/>
      <c r="G19" s="264">
        <v>110000</v>
      </c>
      <c r="N19" s="264">
        <v>22000</v>
      </c>
      <c r="O19" s="265">
        <f t="shared" si="5"/>
        <v>0.2</v>
      </c>
    </row>
    <row r="20" spans="1:15">
      <c r="A20" t="s">
        <v>343</v>
      </c>
      <c r="C20" s="272"/>
      <c r="D20" s="272"/>
      <c r="E20" s="272"/>
      <c r="G20" s="264">
        <v>56000</v>
      </c>
      <c r="N20" s="264">
        <v>11000</v>
      </c>
      <c r="O20" s="265">
        <f t="shared" si="5"/>
        <v>0.19642857142857142</v>
      </c>
    </row>
    <row r="21" spans="1:15">
      <c r="A21" t="s">
        <v>344</v>
      </c>
      <c r="C21" s="272"/>
      <c r="D21" s="272"/>
      <c r="E21" s="272"/>
      <c r="G21" s="264">
        <v>46000</v>
      </c>
      <c r="N21" s="264">
        <v>9000</v>
      </c>
      <c r="O21" s="265">
        <f t="shared" si="5"/>
        <v>0.19565217391304349</v>
      </c>
    </row>
  </sheetData>
  <sortState ref="A3:F8">
    <sortCondition ref="A3:A8"/>
    <sortCondition ref="B3:B8"/>
  </sortState>
  <pageMargins left="0.75" right="0.75" top="1" bottom="1" header="0.5" footer="0.5"/>
  <pageSetup orientation="portrait" horizontalDpi="4294967292" verticalDpi="4294967292"/>
  <ignoredErrors>
    <ignoredError sqref="S6:S14 R5:R14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 enableFormatConditionsCalculation="0">
    <tabColor theme="6" tint="-0.499984740745262"/>
  </sheetPr>
  <dimension ref="A1:U37"/>
  <sheetViews>
    <sheetView showGridLines="0" workbookViewId="0">
      <selection activeCell="A13" sqref="A13"/>
    </sheetView>
  </sheetViews>
  <sheetFormatPr baseColWidth="10" defaultRowHeight="15" x14ac:dyDescent="0"/>
  <cols>
    <col min="2" max="2" width="11.6640625" customWidth="1"/>
    <col min="3" max="3" width="28.1640625" customWidth="1"/>
    <col min="4" max="5" width="10.83203125" style="5"/>
    <col min="8" max="8" width="14.1640625" customWidth="1"/>
    <col min="9" max="10" width="12.1640625" customWidth="1"/>
    <col min="11" max="11" width="9.6640625" customWidth="1"/>
    <col min="12" max="12" width="11.5" bestFit="1" customWidth="1"/>
    <col min="15" max="15" width="3.5" customWidth="1"/>
  </cols>
  <sheetData>
    <row r="1" spans="1:21">
      <c r="F1" s="9" t="s">
        <v>9</v>
      </c>
      <c r="G1" s="8" t="s">
        <v>13</v>
      </c>
      <c r="H1" s="9" t="s">
        <v>72</v>
      </c>
      <c r="I1" s="9" t="s">
        <v>73</v>
      </c>
      <c r="J1" s="9" t="s">
        <v>79</v>
      </c>
      <c r="K1" s="9"/>
      <c r="L1" s="9" t="s">
        <v>3</v>
      </c>
      <c r="M1" s="9" t="s">
        <v>4</v>
      </c>
      <c r="N1" s="9" t="s">
        <v>6</v>
      </c>
      <c r="O1" s="9"/>
      <c r="P1" s="9" t="s">
        <v>12</v>
      </c>
    </row>
    <row r="2" spans="1:21" ht="26">
      <c r="A2" s="46"/>
      <c r="B2" s="13"/>
      <c r="C2" s="60">
        <f>C4+C9+C18</f>
        <v>19848</v>
      </c>
      <c r="F2" s="12">
        <f>SUM(F5:F26)</f>
        <v>7362</v>
      </c>
      <c r="G2" s="14">
        <f>G3-C2</f>
        <v>-963.04999999999927</v>
      </c>
      <c r="H2" s="57">
        <f>SUM(H5:H26)</f>
        <v>13120</v>
      </c>
      <c r="I2" s="57">
        <f>SUM(I5:I516)</f>
        <v>2700</v>
      </c>
      <c r="J2" s="57">
        <f>SUM(J5:J516)</f>
        <v>10</v>
      </c>
      <c r="K2" s="19"/>
      <c r="L2" s="10">
        <f>SUM(L5:L516)/CROPHEXES</f>
        <v>0.71965000000000001</v>
      </c>
      <c r="M2" s="11">
        <f>SUM(M5:M516)/WILDHEXES</f>
        <v>1.1205714285714286</v>
      </c>
      <c r="N2" s="11">
        <f>SUM(N5:N516)/WILDHEXES</f>
        <v>0.33760714285714288</v>
      </c>
      <c r="O2" s="11"/>
      <c r="P2" s="12">
        <f>SUM(P5:P516)</f>
        <v>1800</v>
      </c>
    </row>
    <row r="3" spans="1:21">
      <c r="G3" s="98">
        <f>G5+G6-G11</f>
        <v>18884.95</v>
      </c>
    </row>
    <row r="4" spans="1:21" ht="26">
      <c r="A4" s="1" t="s">
        <v>8</v>
      </c>
      <c r="B4" s="1"/>
      <c r="C4" s="51">
        <f>A5+A6</f>
        <v>15160</v>
      </c>
    </row>
    <row r="5" spans="1:21">
      <c r="A5" s="4">
        <v>14393</v>
      </c>
      <c r="B5" s="49"/>
      <c r="C5" s="3" t="s">
        <v>62</v>
      </c>
      <c r="D5" s="5">
        <v>1</v>
      </c>
      <c r="E5" s="6">
        <v>1</v>
      </c>
      <c r="F5" s="15">
        <f>E5*A5*YEARGOLD</f>
        <v>4317.8999999999996</v>
      </c>
      <c r="G5" s="55">
        <f>A5*FARM_MARGIN*FARM_QUALITY</f>
        <v>17991.25</v>
      </c>
      <c r="L5" s="21">
        <f>A5*FARMLAND</f>
        <v>71965</v>
      </c>
      <c r="M5" s="21"/>
      <c r="N5" s="21"/>
      <c r="O5" s="21"/>
      <c r="R5" s="48"/>
    </row>
    <row r="6" spans="1:21">
      <c r="A6" s="4">
        <v>767</v>
      </c>
      <c r="B6" s="49"/>
      <c r="C6" s="3" t="s">
        <v>71</v>
      </c>
      <c r="D6" s="5">
        <v>1</v>
      </c>
      <c r="E6" s="7">
        <v>1</v>
      </c>
      <c r="F6" s="16">
        <f>E6*A6*YEARGOLD</f>
        <v>230.1</v>
      </c>
      <c r="G6" s="36">
        <f>A6*HUNT_MARGIN</f>
        <v>843.7</v>
      </c>
      <c r="L6" s="21"/>
      <c r="M6" s="21">
        <f>A6*HUNTLAND</f>
        <v>191750</v>
      </c>
      <c r="N6" s="21"/>
      <c r="O6" s="21"/>
    </row>
    <row r="7" spans="1:21">
      <c r="A7" s="52">
        <f>CIVILIANS-C4</f>
        <v>4688</v>
      </c>
      <c r="B7" s="50"/>
      <c r="C7" s="9"/>
      <c r="D7" s="9" t="s">
        <v>1</v>
      </c>
      <c r="E7" s="9" t="s">
        <v>2</v>
      </c>
      <c r="F7" s="8" t="s">
        <v>9</v>
      </c>
      <c r="G7" s="8" t="s">
        <v>13</v>
      </c>
      <c r="H7" s="9"/>
      <c r="I7" s="9"/>
      <c r="J7" s="9"/>
      <c r="K7" s="8"/>
      <c r="L7" s="8" t="s">
        <v>3</v>
      </c>
      <c r="M7" s="8" t="s">
        <v>4</v>
      </c>
      <c r="N7" s="8"/>
      <c r="O7" s="8"/>
    </row>
    <row r="9" spans="1:21" ht="26">
      <c r="A9" s="2" t="s">
        <v>65</v>
      </c>
      <c r="C9" s="51">
        <f>INT(A10+A11+A12+A13+A14+A15+0.9)</f>
        <v>2461</v>
      </c>
    </row>
    <row r="10" spans="1:21">
      <c r="A10" s="4">
        <v>410</v>
      </c>
      <c r="C10" s="3" t="s">
        <v>32</v>
      </c>
      <c r="D10" s="5">
        <v>1</v>
      </c>
      <c r="E10" s="7">
        <v>1</v>
      </c>
      <c r="F10" s="16">
        <f t="shared" ref="F10:F15" si="0">E10*A10*YEARGOLD</f>
        <v>123</v>
      </c>
      <c r="G10" s="36"/>
      <c r="H10" s="37">
        <f>A10*FORESTER_WOOD_TONS/WOOD_PER_BLOCK</f>
        <v>13120</v>
      </c>
      <c r="I10" s="20"/>
      <c r="J10" s="20"/>
      <c r="K10" s="20"/>
      <c r="N10" s="21">
        <f>A10*FORESTER_WOOD_TONS</f>
        <v>32800</v>
      </c>
      <c r="R10" s="23">
        <f>(E10*YEARGOLD)/FORESTER_WOOD_TONS</f>
        <v>3.7499999999999999E-3</v>
      </c>
      <c r="S10" s="23" t="s">
        <v>52</v>
      </c>
      <c r="T10" s="23">
        <f>R10*4</f>
        <v>1.4999999999999999E-2</v>
      </c>
      <c r="U10" s="23" t="s">
        <v>80</v>
      </c>
    </row>
    <row r="11" spans="1:21">
      <c r="A11" s="4">
        <v>1</v>
      </c>
      <c r="C11" s="3" t="s">
        <v>7</v>
      </c>
      <c r="D11" s="5">
        <v>3</v>
      </c>
      <c r="E11" s="7">
        <v>20</v>
      </c>
      <c r="F11" s="16">
        <f t="shared" si="0"/>
        <v>6</v>
      </c>
      <c r="G11" s="36">
        <f>USES*A11*HORSE_HERD</f>
        <v>-50</v>
      </c>
      <c r="H11" s="20"/>
      <c r="I11" s="20"/>
      <c r="J11" s="37">
        <f>A11*10</f>
        <v>10</v>
      </c>
      <c r="K11" s="20"/>
      <c r="L11" s="21"/>
      <c r="M11" s="21">
        <f>A11*HORSE_HERD*5</f>
        <v>250</v>
      </c>
      <c r="N11" s="21"/>
      <c r="O11" s="21"/>
      <c r="R11" s="23">
        <f>(E11*YEARGOLD+HORSE_HERD*SUPPORT_COST+5*YEARGOLD)/HERD_INCREASE</f>
        <v>1.75</v>
      </c>
      <c r="S11" s="23" t="s">
        <v>59</v>
      </c>
    </row>
    <row r="12" spans="1:21">
      <c r="A12" s="4">
        <v>1590</v>
      </c>
      <c r="C12" s="3" t="s">
        <v>5</v>
      </c>
      <c r="D12" s="5">
        <v>1</v>
      </c>
      <c r="E12" s="7">
        <v>1</v>
      </c>
      <c r="F12" s="16">
        <f t="shared" si="0"/>
        <v>477</v>
      </c>
      <c r="G12" s="36"/>
      <c r="H12" s="37"/>
      <c r="I12" s="20"/>
      <c r="J12" s="20"/>
      <c r="K12" s="20"/>
      <c r="L12" s="21"/>
      <c r="M12" s="21">
        <f>A12*2</f>
        <v>3180</v>
      </c>
      <c r="N12" s="21">
        <f>A12*SMELTING_FUEL/2</f>
        <v>19875</v>
      </c>
      <c r="O12" s="21"/>
      <c r="P12" s="16">
        <f>A12*MINING_VALUE*MINE_QUALITY-F12</f>
        <v>1431</v>
      </c>
      <c r="Q12" s="22"/>
      <c r="R12" s="23">
        <f>MINING_VALUE/80</f>
        <v>0.01</v>
      </c>
      <c r="S12" s="23" t="s">
        <v>66</v>
      </c>
    </row>
    <row r="13" spans="1:21">
      <c r="A13" s="4">
        <v>410</v>
      </c>
      <c r="C13" s="61" t="s">
        <v>75</v>
      </c>
      <c r="D13" s="5">
        <v>1</v>
      </c>
      <c r="E13" s="7">
        <v>2</v>
      </c>
      <c r="F13" s="16">
        <f t="shared" si="0"/>
        <v>246</v>
      </c>
      <c r="G13" s="36"/>
      <c r="H13" s="37"/>
      <c r="I13" s="20"/>
      <c r="J13" s="20"/>
      <c r="K13" s="20"/>
      <c r="L13" s="21"/>
      <c r="M13" s="21">
        <f>A13*2</f>
        <v>820</v>
      </c>
      <c r="N13" s="21">
        <f>A13*SMELTING_FUEL*DWARF_METAL/2</f>
        <v>6406.25</v>
      </c>
      <c r="O13" s="21"/>
      <c r="P13" s="16">
        <f>A13*MINING_VALUE*MINE_QUALITY*DWARF_METAL-F13</f>
        <v>369</v>
      </c>
      <c r="Q13" s="22"/>
      <c r="R13" s="23"/>
      <c r="S13" s="23"/>
    </row>
    <row r="14" spans="1:21">
      <c r="A14" s="4">
        <v>0</v>
      </c>
      <c r="C14" s="3" t="s">
        <v>33</v>
      </c>
      <c r="D14" s="5">
        <v>1</v>
      </c>
      <c r="E14" s="7">
        <v>2</v>
      </c>
      <c r="F14" s="16">
        <f t="shared" si="0"/>
        <v>0</v>
      </c>
      <c r="G14" s="36"/>
      <c r="H14" s="37"/>
      <c r="I14" s="37">
        <f>A14*QUARRY_TONS/STONE_PER_BLOCK</f>
        <v>0</v>
      </c>
      <c r="J14" s="37"/>
      <c r="K14" s="20"/>
      <c r="L14" s="21"/>
      <c r="M14" s="21">
        <f>A14*2</f>
        <v>0</v>
      </c>
      <c r="N14" s="21"/>
      <c r="O14" s="21"/>
      <c r="P14" s="16"/>
      <c r="Q14" s="22"/>
      <c r="R14" s="23">
        <f>(E14*YEARGOLD)/QUARRY_TONS</f>
        <v>6.6666666666666664E-4</v>
      </c>
      <c r="S14" s="23" t="s">
        <v>52</v>
      </c>
      <c r="T14" s="23">
        <f>R14*20</f>
        <v>1.3333333333333332E-2</v>
      </c>
      <c r="U14" s="23" t="s">
        <v>80</v>
      </c>
    </row>
    <row r="15" spans="1:21">
      <c r="A15" s="4">
        <v>50</v>
      </c>
      <c r="C15" s="61" t="s">
        <v>74</v>
      </c>
      <c r="D15" s="5">
        <v>1</v>
      </c>
      <c r="E15" s="7">
        <v>3</v>
      </c>
      <c r="F15" s="16">
        <f t="shared" si="0"/>
        <v>45</v>
      </c>
      <c r="G15" s="36"/>
      <c r="H15" s="20"/>
      <c r="I15" s="37">
        <f>A15*QUARRY_TONS*DWARF_STONE/STONE_PER_BLOCK</f>
        <v>2700</v>
      </c>
      <c r="J15" s="37"/>
      <c r="K15" s="20"/>
      <c r="M15" s="21">
        <f>A15*2</f>
        <v>100</v>
      </c>
      <c r="N15" s="21"/>
    </row>
    <row r="16" spans="1:21">
      <c r="A16" s="52">
        <f>CIVILIANS-C9-C4</f>
        <v>2227</v>
      </c>
      <c r="B16" s="50"/>
      <c r="C16" s="9"/>
      <c r="D16" s="9" t="s">
        <v>1</v>
      </c>
      <c r="E16" s="9" t="s">
        <v>2</v>
      </c>
      <c r="F16" s="9" t="s">
        <v>9</v>
      </c>
      <c r="G16" s="8" t="s">
        <v>13</v>
      </c>
      <c r="H16" s="9" t="s">
        <v>31</v>
      </c>
      <c r="I16" s="9" t="s">
        <v>34</v>
      </c>
      <c r="J16" s="9"/>
      <c r="K16" s="9"/>
      <c r="L16" s="9"/>
      <c r="M16" s="9" t="s">
        <v>4</v>
      </c>
      <c r="N16" s="9" t="s">
        <v>6</v>
      </c>
      <c r="O16" s="9"/>
      <c r="P16" s="9" t="s">
        <v>12</v>
      </c>
      <c r="Q16" s="9"/>
    </row>
    <row r="18" spans="1:15" ht="26">
      <c r="A18" s="2" t="s">
        <v>67</v>
      </c>
      <c r="C18" s="51">
        <f>INT(B19+B20+B21+B22+0.9)</f>
        <v>2227</v>
      </c>
    </row>
    <row r="19" spans="1:15" ht="15" customHeight="1">
      <c r="A19" s="56">
        <v>1</v>
      </c>
      <c r="B19" s="49">
        <f>INT(OTHER*(A19/RATIO)+0.5)</f>
        <v>14</v>
      </c>
      <c r="C19" s="3" t="s">
        <v>171</v>
      </c>
      <c r="D19" s="5">
        <v>4</v>
      </c>
      <c r="E19" s="7">
        <v>100</v>
      </c>
      <c r="F19" s="16">
        <f t="shared" ref="F19:F21" si="1">E19*B19*YEARGOLD</f>
        <v>420</v>
      </c>
    </row>
    <row r="20" spans="1:15">
      <c r="A20" s="56">
        <v>5</v>
      </c>
      <c r="B20" s="49">
        <f>INT(OTHER*(A20/RATIO)+0.5)</f>
        <v>71</v>
      </c>
      <c r="C20" s="3" t="s">
        <v>68</v>
      </c>
      <c r="D20" s="5">
        <v>3</v>
      </c>
      <c r="E20" s="7">
        <v>20</v>
      </c>
      <c r="F20" s="16">
        <f t="shared" si="1"/>
        <v>426</v>
      </c>
      <c r="G20" s="18"/>
      <c r="H20" s="20"/>
      <c r="I20" s="20"/>
      <c r="J20" s="20"/>
      <c r="K20" s="20"/>
      <c r="L20" s="21"/>
      <c r="M20" s="21"/>
      <c r="N20" s="21"/>
      <c r="O20" s="21"/>
    </row>
    <row r="21" spans="1:15">
      <c r="A21" s="56">
        <v>25</v>
      </c>
      <c r="B21" s="49">
        <f>INT(OTHER*(A21/RATIO)+0.5)</f>
        <v>357</v>
      </c>
      <c r="C21" s="3" t="s">
        <v>70</v>
      </c>
      <c r="D21" s="5">
        <v>2</v>
      </c>
      <c r="E21" s="7">
        <v>5</v>
      </c>
      <c r="F21" s="16">
        <f t="shared" si="1"/>
        <v>535.5</v>
      </c>
      <c r="G21" s="18"/>
      <c r="H21" s="20"/>
      <c r="I21" s="20"/>
      <c r="J21" s="20"/>
      <c r="K21" s="20"/>
      <c r="L21" s="21"/>
      <c r="M21" s="21"/>
      <c r="N21" s="21"/>
      <c r="O21" s="21"/>
    </row>
    <row r="22" spans="1:15">
      <c r="A22" s="56">
        <v>125</v>
      </c>
      <c r="B22" s="49">
        <f>OTHER-(B19+B20+B21)</f>
        <v>1785</v>
      </c>
      <c r="C22" s="3" t="s">
        <v>69</v>
      </c>
      <c r="D22" s="5">
        <v>1</v>
      </c>
      <c r="E22" s="7">
        <v>1</v>
      </c>
      <c r="F22" s="16">
        <f>E22*B22*YEARGOLD</f>
        <v>535.5</v>
      </c>
      <c r="G22" s="18"/>
      <c r="H22" s="20"/>
      <c r="I22" s="20"/>
      <c r="J22" s="20"/>
      <c r="K22" s="20"/>
      <c r="L22" s="21"/>
      <c r="M22" s="21"/>
      <c r="N22" s="21"/>
      <c r="O22" s="21"/>
    </row>
    <row r="23" spans="1:15">
      <c r="A23" s="131">
        <f>SUM(A19:A22)</f>
        <v>156</v>
      </c>
      <c r="D23" s="9" t="s">
        <v>1</v>
      </c>
      <c r="E23" s="9" t="s">
        <v>2</v>
      </c>
      <c r="F23" s="9" t="s">
        <v>9</v>
      </c>
    </row>
    <row r="24" spans="1:15">
      <c r="A24" s="94">
        <f>(RATIO4*STATION4+RATIO3*STATION3+RATIO2*STATION2+RATIO1*STATION1)/RATIO</f>
        <v>2.8846153846153846</v>
      </c>
      <c r="C24" s="9"/>
      <c r="G24" s="8"/>
      <c r="H24" s="9"/>
      <c r="I24" s="9"/>
      <c r="J24" s="9"/>
      <c r="K24" s="9"/>
      <c r="L24" s="9"/>
      <c r="M24" s="9"/>
      <c r="N24" s="9"/>
      <c r="O24" s="9"/>
    </row>
    <row r="25" spans="1:15">
      <c r="A25" s="94">
        <f>(RATIO2*STATION2+RATIO1*STATION1)/(RATIO2+RATIO1)</f>
        <v>1.6666666666666667</v>
      </c>
      <c r="D25"/>
      <c r="E25"/>
    </row>
    <row r="26" spans="1:15">
      <c r="B26" s="49">
        <f>SLAVES</f>
        <v>0</v>
      </c>
      <c r="C26" s="3" t="s">
        <v>10</v>
      </c>
      <c r="D26" s="5">
        <v>0</v>
      </c>
      <c r="E26" s="7"/>
      <c r="F26" s="16"/>
      <c r="G26" s="18"/>
      <c r="H26" s="20"/>
      <c r="I26" s="20"/>
      <c r="J26" s="20"/>
      <c r="K26" s="20"/>
      <c r="L26" s="21"/>
      <c r="M26" s="21"/>
      <c r="N26" s="21"/>
      <c r="O26" s="21"/>
    </row>
    <row r="27" spans="1:15">
      <c r="D27" s="9" t="s">
        <v>1</v>
      </c>
      <c r="E27" s="9"/>
      <c r="F27" s="9"/>
    </row>
    <row r="28" spans="1:15">
      <c r="D28"/>
      <c r="E28"/>
    </row>
    <row r="29" spans="1:15">
      <c r="B29" s="149">
        <f>B21*1+B20*4+B19*9+Expenses!A20*2+Expenses!A21*5</f>
        <v>861</v>
      </c>
      <c r="C29" s="148" t="s">
        <v>173</v>
      </c>
      <c r="D29"/>
      <c r="E29"/>
    </row>
    <row r="30" spans="1:15">
      <c r="B30" s="49">
        <f>INT(B22-B29+B26/2)</f>
        <v>924</v>
      </c>
      <c r="C30" s="3" t="s">
        <v>169</v>
      </c>
      <c r="D30"/>
      <c r="E30"/>
    </row>
    <row r="31" spans="1:15">
      <c r="D31"/>
      <c r="E31"/>
    </row>
    <row r="32" spans="1:15">
      <c r="D32"/>
      <c r="E32"/>
    </row>
    <row r="33" spans="4:11">
      <c r="D33"/>
      <c r="E33"/>
    </row>
    <row r="34" spans="4:11">
      <c r="D34"/>
      <c r="E34"/>
      <c r="K34" s="218"/>
    </row>
    <row r="35" spans="4:11">
      <c r="D35"/>
      <c r="E35"/>
    </row>
    <row r="36" spans="4:11">
      <c r="D36"/>
      <c r="E36"/>
    </row>
    <row r="37" spans="4:11">
      <c r="D37"/>
      <c r="E37"/>
    </row>
  </sheetData>
  <sheetProtection sheet="1" objects="1" scenarios="1" selectLockedCells="1"/>
  <pageMargins left="0.75" right="0.75" top="1" bottom="1" header="0.5" footer="0.5"/>
  <pageSetup orientation="portrait" horizontalDpi="4294967292" verticalDpi="4294967292"/>
  <ignoredErrors>
    <ignoredError sqref="H2 P2 L2:N2 F2 I2:J2 F14" emptyCellReference="1"/>
  </ignoredErrors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 enableFormatConditionsCalculation="0">
    <tabColor theme="5" tint="-0.499984740745262"/>
  </sheetPr>
  <dimension ref="A1:AE35"/>
  <sheetViews>
    <sheetView showGridLines="0" workbookViewId="0">
      <selection activeCell="A6" sqref="A6"/>
    </sheetView>
  </sheetViews>
  <sheetFormatPr baseColWidth="10" defaultRowHeight="15" x14ac:dyDescent="0"/>
  <cols>
    <col min="2" max="2" width="19.33203125" customWidth="1"/>
  </cols>
  <sheetData>
    <row r="1" spans="1:13" ht="24">
      <c r="A1" s="13">
        <f>SUM(A4:A515)</f>
        <v>1625</v>
      </c>
      <c r="C1" s="5"/>
      <c r="D1" s="5"/>
      <c r="E1" s="12">
        <f>SUM(E4:E515)</f>
        <v>3196.9749999999999</v>
      </c>
      <c r="F1" s="14">
        <f>SUM(F4:F515)-A1</f>
        <v>-2101.6979999999999</v>
      </c>
      <c r="G1" s="19"/>
      <c r="H1" s="14">
        <f>SUM(H4:H515)</f>
        <v>816</v>
      </c>
      <c r="I1" s="14">
        <f>SUM(I4:I515)</f>
        <v>230</v>
      </c>
      <c r="J1" s="14">
        <f>SUM(J4:J515)</f>
        <v>272</v>
      </c>
      <c r="K1" s="11"/>
      <c r="L1" s="11"/>
      <c r="M1" s="9" t="s">
        <v>4</v>
      </c>
    </row>
    <row r="2" spans="1:13" ht="17">
      <c r="C2" s="5"/>
      <c r="D2" s="5"/>
      <c r="M2" s="11">
        <f>SUM(M5:M16)/WILDHEXES</f>
        <v>6.5714285714285718E-3</v>
      </c>
    </row>
    <row r="3" spans="1:13" ht="24">
      <c r="A3" s="1" t="s">
        <v>14</v>
      </c>
      <c r="C3" s="5"/>
      <c r="D3" s="5"/>
    </row>
    <row r="4" spans="1:13">
      <c r="A4" s="4">
        <v>200</v>
      </c>
      <c r="B4" s="3" t="s">
        <v>15</v>
      </c>
      <c r="C4" s="5">
        <v>1</v>
      </c>
      <c r="D4" s="6">
        <f>70/30</f>
        <v>2.3333333333333335</v>
      </c>
      <c r="E4" s="15">
        <f>D4*A4*YEARGOLD_HIRE*COMPANY</f>
        <v>210</v>
      </c>
      <c r="F4" s="17"/>
      <c r="H4" s="49"/>
      <c r="I4" s="49"/>
      <c r="J4" s="49">
        <f>A4</f>
        <v>200</v>
      </c>
      <c r="L4" s="21"/>
    </row>
    <row r="5" spans="1:13">
      <c r="A5" s="4">
        <v>130</v>
      </c>
      <c r="B5" s="3" t="s">
        <v>16</v>
      </c>
      <c r="C5" s="5">
        <v>1</v>
      </c>
      <c r="D5" s="7">
        <f>120/30</f>
        <v>4</v>
      </c>
      <c r="E5" s="15">
        <f>D5*A5*YEARGOLD_HIRE*COMPANY</f>
        <v>234</v>
      </c>
      <c r="F5" s="36">
        <f>-2*A5</f>
        <v>-260</v>
      </c>
      <c r="H5" s="49"/>
      <c r="I5" s="49">
        <f>A5</f>
        <v>130</v>
      </c>
      <c r="J5" s="49"/>
      <c r="L5" s="21"/>
      <c r="M5" s="21">
        <f>A5*5</f>
        <v>650</v>
      </c>
    </row>
    <row r="6" spans="1:13">
      <c r="A6" s="4">
        <v>600</v>
      </c>
      <c r="B6" s="3" t="s">
        <v>85</v>
      </c>
      <c r="C6" s="5">
        <v>1</v>
      </c>
      <c r="D6" s="7">
        <f>60/30</f>
        <v>2</v>
      </c>
      <c r="E6" s="15">
        <f>D6*A6*YEARGOLD_HIRE*COMPANY</f>
        <v>540</v>
      </c>
      <c r="F6" s="18"/>
      <c r="H6" s="49">
        <f>A6</f>
        <v>600</v>
      </c>
      <c r="I6" s="49"/>
      <c r="J6" s="49"/>
      <c r="L6" s="21"/>
    </row>
    <row r="7" spans="1:13">
      <c r="B7" s="9" t="s">
        <v>0</v>
      </c>
      <c r="C7" s="9" t="s">
        <v>1</v>
      </c>
      <c r="D7" s="9" t="s">
        <v>2</v>
      </c>
      <c r="E7" s="8" t="s">
        <v>9</v>
      </c>
      <c r="F7" s="8" t="s">
        <v>13</v>
      </c>
      <c r="G7" s="8"/>
      <c r="H7" s="8" t="s">
        <v>85</v>
      </c>
      <c r="I7" s="8" t="s">
        <v>16</v>
      </c>
      <c r="J7" s="8" t="s">
        <v>86</v>
      </c>
      <c r="L7" s="8"/>
    </row>
    <row r="8" spans="1:13" ht="12" customHeight="1"/>
    <row r="9" spans="1:13" ht="24">
      <c r="A9" s="1" t="s">
        <v>17</v>
      </c>
      <c r="C9" s="5"/>
      <c r="D9" s="5"/>
    </row>
    <row r="10" spans="1:13">
      <c r="A10" s="4">
        <v>200</v>
      </c>
      <c r="B10" s="3" t="s">
        <v>18</v>
      </c>
      <c r="C10" s="5">
        <v>1</v>
      </c>
      <c r="D10" s="6">
        <f>120/30</f>
        <v>4</v>
      </c>
      <c r="E10" s="15">
        <f>D10*A10*YEARGOLD_HIRE*COMPANY</f>
        <v>360</v>
      </c>
      <c r="F10" s="55"/>
      <c r="H10" s="49">
        <f>A10</f>
        <v>200</v>
      </c>
      <c r="I10" s="49"/>
      <c r="J10" s="49"/>
    </row>
    <row r="11" spans="1:13">
      <c r="A11" s="4">
        <v>47</v>
      </c>
      <c r="B11" s="3" t="s">
        <v>19</v>
      </c>
      <c r="C11" s="5">
        <v>1</v>
      </c>
      <c r="D11" s="7">
        <f>250/30</f>
        <v>8.3333333333333339</v>
      </c>
      <c r="E11" s="15">
        <f>D11*A11*YEARGOLD_HIRE*COMPANY</f>
        <v>176.25</v>
      </c>
      <c r="F11" s="36">
        <f>0.666*A11</f>
        <v>31.302000000000003</v>
      </c>
      <c r="H11" s="49"/>
      <c r="I11" s="49"/>
      <c r="J11" s="49">
        <f>A11</f>
        <v>47</v>
      </c>
    </row>
    <row r="12" spans="1:13">
      <c r="A12" s="4">
        <v>16</v>
      </c>
      <c r="B12" s="3" t="s">
        <v>20</v>
      </c>
      <c r="C12" s="5">
        <v>1</v>
      </c>
      <c r="D12" s="7">
        <v>14.666666666666666</v>
      </c>
      <c r="E12" s="15">
        <f>D12*A12*YEARGOLD_HIRE*COMPANY</f>
        <v>105.6</v>
      </c>
      <c r="F12" s="36">
        <f>USES*A12*3</f>
        <v>-48</v>
      </c>
      <c r="H12" s="49">
        <f>A12</f>
        <v>16</v>
      </c>
      <c r="I12" s="49"/>
      <c r="J12" s="49"/>
    </row>
    <row r="13" spans="1:13">
      <c r="A13" s="4">
        <v>100</v>
      </c>
      <c r="B13" s="3" t="s">
        <v>21</v>
      </c>
      <c r="C13" s="5">
        <v>1</v>
      </c>
      <c r="D13" s="7">
        <f>360/30</f>
        <v>12</v>
      </c>
      <c r="E13" s="15">
        <f>D13*A13*YEARGOLD_HIRE*COMPANY</f>
        <v>540</v>
      </c>
      <c r="F13" s="36">
        <f>-2*A13</f>
        <v>-200</v>
      </c>
      <c r="H13" s="49"/>
      <c r="I13" s="49">
        <f>A13</f>
        <v>100</v>
      </c>
      <c r="J13" s="49"/>
      <c r="M13" s="21">
        <f>A13*5</f>
        <v>500</v>
      </c>
    </row>
    <row r="14" spans="1:13">
      <c r="A14" s="4">
        <v>0</v>
      </c>
      <c r="B14" s="3" t="s">
        <v>23</v>
      </c>
      <c r="C14" s="5">
        <v>1</v>
      </c>
      <c r="D14" s="7">
        <f>180/30</f>
        <v>6</v>
      </c>
      <c r="E14" s="16">
        <f t="shared" ref="E14:E15" si="0">D14*A14*YEARGOLD*COMPANY</f>
        <v>0</v>
      </c>
      <c r="F14" s="18"/>
      <c r="H14" s="49">
        <f>A14</f>
        <v>0</v>
      </c>
      <c r="I14" s="49"/>
      <c r="J14" s="49"/>
    </row>
    <row r="15" spans="1:13">
      <c r="A15" s="4">
        <v>25</v>
      </c>
      <c r="B15" s="3" t="s">
        <v>22</v>
      </c>
      <c r="C15" s="5">
        <v>1</v>
      </c>
      <c r="D15" s="7">
        <f>170/30</f>
        <v>5.666666666666667</v>
      </c>
      <c r="E15" s="16">
        <f t="shared" si="0"/>
        <v>53.125000000000007</v>
      </c>
      <c r="F15" s="18"/>
      <c r="H15" s="49"/>
      <c r="I15" s="49"/>
      <c r="J15" s="49">
        <f>A15</f>
        <v>25</v>
      </c>
    </row>
    <row r="16" spans="1:13">
      <c r="B16" s="9" t="s">
        <v>0</v>
      </c>
      <c r="C16" s="9" t="s">
        <v>1</v>
      </c>
      <c r="D16" s="9" t="s">
        <v>2</v>
      </c>
      <c r="E16" s="8" t="s">
        <v>9</v>
      </c>
      <c r="F16" s="8" t="s">
        <v>13</v>
      </c>
      <c r="H16" s="8" t="s">
        <v>85</v>
      </c>
      <c r="I16" s="8" t="s">
        <v>16</v>
      </c>
      <c r="J16" s="8" t="s">
        <v>86</v>
      </c>
    </row>
    <row r="17" spans="1:31" ht="13" customHeight="1"/>
    <row r="18" spans="1:31" ht="11" customHeight="1"/>
    <row r="19" spans="1:31" ht="24" customHeight="1">
      <c r="A19" s="1" t="s">
        <v>28</v>
      </c>
      <c r="C19" s="5"/>
      <c r="D19" s="5"/>
      <c r="L19" s="302" t="s">
        <v>179</v>
      </c>
      <c r="M19" s="303"/>
      <c r="N19" s="304"/>
    </row>
    <row r="20" spans="1:31">
      <c r="A20" s="178">
        <v>32</v>
      </c>
      <c r="B20" s="3" t="s">
        <v>29</v>
      </c>
      <c r="C20" s="5">
        <v>3</v>
      </c>
      <c r="D20" s="6">
        <v>20</v>
      </c>
      <c r="E20" s="15">
        <f>D20*A20*YEARGOLD_HIRE</f>
        <v>230.39999999999998</v>
      </c>
      <c r="F20" s="17"/>
      <c r="L20" s="302"/>
      <c r="M20" s="303"/>
      <c r="N20" s="304"/>
    </row>
    <row r="21" spans="1:31">
      <c r="A21" s="75">
        <v>6</v>
      </c>
      <c r="B21" s="3" t="s">
        <v>30</v>
      </c>
      <c r="C21" s="5">
        <v>4</v>
      </c>
      <c r="D21" s="7">
        <v>100</v>
      </c>
      <c r="E21" s="15">
        <f>D21*A21*YEARGOLD_HIRE</f>
        <v>216</v>
      </c>
      <c r="F21" s="18"/>
      <c r="L21" s="302"/>
      <c r="M21" s="303"/>
      <c r="N21" s="304"/>
    </row>
    <row r="22" spans="1:31">
      <c r="A22" s="75">
        <v>100</v>
      </c>
      <c r="B22" s="3" t="s">
        <v>178</v>
      </c>
      <c r="C22" s="5">
        <v>1</v>
      </c>
      <c r="D22" s="7">
        <v>2</v>
      </c>
      <c r="E22" s="15">
        <f>D22*A22*YEARGOLD_HIRE</f>
        <v>72</v>
      </c>
      <c r="F22" s="18"/>
      <c r="L22" s="302"/>
      <c r="M22" s="303"/>
      <c r="N22" s="304"/>
      <c r="AD22" s="181" t="s">
        <v>185</v>
      </c>
    </row>
    <row r="23" spans="1:31" ht="14" customHeight="1">
      <c r="B23" s="9" t="s">
        <v>0</v>
      </c>
      <c r="C23" s="9" t="s">
        <v>1</v>
      </c>
      <c r="D23" s="9" t="s">
        <v>2</v>
      </c>
      <c r="E23" s="8" t="s">
        <v>9</v>
      </c>
      <c r="F23" s="8"/>
      <c r="L23" s="305"/>
      <c r="M23" s="306"/>
      <c r="N23" s="307"/>
      <c r="AD23" s="180" t="s">
        <v>184</v>
      </c>
      <c r="AE23" s="180">
        <v>1</v>
      </c>
    </row>
    <row r="24" spans="1:31" ht="13" customHeight="1">
      <c r="AD24" s="180" t="s">
        <v>183</v>
      </c>
      <c r="AE24" s="180">
        <v>0.5</v>
      </c>
    </row>
    <row r="25" spans="1:31" ht="24">
      <c r="A25" s="1" t="s">
        <v>24</v>
      </c>
      <c r="C25" s="5"/>
      <c r="D25" s="5"/>
      <c r="L25" s="1" t="s">
        <v>182</v>
      </c>
    </row>
    <row r="26" spans="1:31">
      <c r="A26" s="49">
        <f>INT((NONGOVPOP)/250*N26+0.5)</f>
        <v>90</v>
      </c>
      <c r="B26" s="3" t="s">
        <v>25</v>
      </c>
      <c r="C26" s="5">
        <v>2</v>
      </c>
      <c r="D26" s="6">
        <v>10</v>
      </c>
      <c r="E26" s="15">
        <f>D26*A26*YEARGOLD_HIRE</f>
        <v>324</v>
      </c>
      <c r="F26" s="17"/>
      <c r="H26" s="23"/>
      <c r="L26" s="182">
        <v>6</v>
      </c>
      <c r="M26" s="183" t="s">
        <v>183</v>
      </c>
      <c r="N26" s="184">
        <f>1/(1+(L26-4)*0.1*IF(L26&gt;4,VLOOKUP(M26,ADMIN_SKILL_EFFECT,2),1))</f>
        <v>0.90909090909090906</v>
      </c>
    </row>
    <row r="27" spans="1:31">
      <c r="A27" s="49">
        <f>INT(A26/10*N26+0.5)</f>
        <v>8</v>
      </c>
      <c r="B27" s="3" t="s">
        <v>27</v>
      </c>
      <c r="C27" s="5">
        <v>3</v>
      </c>
      <c r="D27" s="7">
        <v>20</v>
      </c>
      <c r="E27" s="15">
        <f>D27*A27*YEARGOLD_HIRE</f>
        <v>57.599999999999994</v>
      </c>
      <c r="F27" s="18"/>
      <c r="H27" s="23"/>
    </row>
    <row r="28" spans="1:31">
      <c r="A28" s="49">
        <f>MAX(INT(A27/10*N26+0.5)-A29,0)</f>
        <v>0</v>
      </c>
      <c r="B28" s="3" t="s">
        <v>26</v>
      </c>
      <c r="C28" s="5">
        <v>4</v>
      </c>
      <c r="D28" s="7">
        <v>50</v>
      </c>
      <c r="E28" s="15">
        <f>D28*A28*YEARGOLD_HIRE</f>
        <v>0</v>
      </c>
      <c r="F28" s="18"/>
      <c r="H28" s="23"/>
    </row>
    <row r="29" spans="1:31">
      <c r="A29" s="49">
        <f>IF(NONGOVPOP &gt;= 1000, 1,0)</f>
        <v>1</v>
      </c>
      <c r="B29" s="3" t="s">
        <v>170</v>
      </c>
      <c r="C29" s="5">
        <v>6</v>
      </c>
      <c r="D29" s="7">
        <v>100</v>
      </c>
      <c r="E29" s="15">
        <f>D29*A29*YEARGOLD_HIRE</f>
        <v>36</v>
      </c>
      <c r="F29" s="18"/>
      <c r="H29" s="23"/>
    </row>
    <row r="30" spans="1:31">
      <c r="B30" s="9" t="s">
        <v>0</v>
      </c>
      <c r="C30" s="9" t="s">
        <v>1</v>
      </c>
      <c r="D30" s="9" t="s">
        <v>2</v>
      </c>
      <c r="E30" s="8" t="s">
        <v>9</v>
      </c>
      <c r="F30" s="8"/>
    </row>
    <row r="33" spans="1:7" ht="24">
      <c r="A33" s="1" t="s">
        <v>89</v>
      </c>
    </row>
    <row r="34" spans="1:7">
      <c r="A34" s="75">
        <v>70</v>
      </c>
      <c r="B34" s="3" t="s">
        <v>90</v>
      </c>
      <c r="C34" s="5">
        <v>1</v>
      </c>
      <c r="D34" s="6">
        <f>50/30</f>
        <v>1.6666666666666667</v>
      </c>
      <c r="E34" s="15">
        <f>D34*A34*YEARGOLD_HIRE</f>
        <v>42</v>
      </c>
      <c r="G34" s="23" t="str">
        <f>INT(NONGOVPOP/150) &amp; " suggested, HALF that for slack cities"</f>
        <v>165 suggested, HALF that for slack cities</v>
      </c>
    </row>
    <row r="35" spans="1:7">
      <c r="B35" s="9" t="s">
        <v>0</v>
      </c>
      <c r="C35" s="9" t="s">
        <v>1</v>
      </c>
      <c r="D35" s="9" t="s">
        <v>2</v>
      </c>
      <c r="E35" s="8" t="s">
        <v>9</v>
      </c>
    </row>
  </sheetData>
  <sheetProtection sheet="1" objects="1" scenarios="1" selectLockedCells="1"/>
  <sortState ref="A25:H28">
    <sortCondition ref="B19:B22"/>
  </sortState>
  <mergeCells count="1">
    <mergeCell ref="L19:N23"/>
  </mergeCells>
  <dataValidations count="1">
    <dataValidation type="list" allowBlank="1" showInputMessage="1" showErrorMessage="1" sqref="M26">
      <formula1>$AD$23:$AD$24</formula1>
    </dataValidation>
  </dataValidations>
  <pageMargins left="0.75" right="0.75" top="1" bottom="1" header="0.5" footer="0.5"/>
  <pageSetup orientation="portrait" horizontalDpi="4294967292" verticalDpi="4294967292"/>
  <ignoredErrors>
    <ignoredError sqref="H1:J1 E1:F1 A1" emptyCellReference="1"/>
  </ignoredErrors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 enableFormatConditionsCalculation="0">
    <tabColor theme="0" tint="-0.499984740745262"/>
  </sheetPr>
  <dimension ref="A1:Q66"/>
  <sheetViews>
    <sheetView workbookViewId="0">
      <selection activeCell="C28" sqref="C28"/>
    </sheetView>
  </sheetViews>
  <sheetFormatPr baseColWidth="10" defaultRowHeight="15" x14ac:dyDescent="0"/>
  <cols>
    <col min="14" max="14" width="18.6640625" customWidth="1"/>
  </cols>
  <sheetData>
    <row r="1" spans="1:17" ht="29">
      <c r="A1" s="199" t="s">
        <v>41</v>
      </c>
      <c r="H1" s="137"/>
    </row>
    <row r="2" spans="1:17">
      <c r="A2" s="141" t="s">
        <v>149</v>
      </c>
      <c r="B2" s="142" t="s">
        <v>34</v>
      </c>
      <c r="C2" s="143" t="s">
        <v>150</v>
      </c>
      <c r="D2" s="168">
        <f>INT(FREE_LABOR+MILPOP/4)*360</f>
        <v>451080</v>
      </c>
      <c r="E2" s="146" t="s">
        <v>156</v>
      </c>
      <c r="G2" s="16">
        <f>FREE_LABOR*0.36</f>
        <v>332.64</v>
      </c>
      <c r="I2" s="3" t="s">
        <v>180</v>
      </c>
      <c r="K2" s="48">
        <f>Expenses!A22</f>
        <v>100</v>
      </c>
      <c r="M2" s="3" t="s">
        <v>285</v>
      </c>
    </row>
    <row r="3" spans="1:17">
      <c r="A3" s="138">
        <f>SUM(A7:A103)</f>
        <v>-14700</v>
      </c>
      <c r="B3" s="139">
        <f>SUM(B7:B103)</f>
        <v>49181</v>
      </c>
      <c r="C3" s="140">
        <f>SUM(C7:C103)</f>
        <v>32850</v>
      </c>
      <c r="D3" s="169">
        <f>WOOD</f>
        <v>13120</v>
      </c>
      <c r="E3" s="3" t="str">
        <f>"Wood Purchase"</f>
        <v>Wood Purchase</v>
      </c>
      <c r="G3" s="16">
        <f>Income!F10</f>
        <v>123</v>
      </c>
      <c r="I3" s="3" t="s">
        <v>181</v>
      </c>
      <c r="K3">
        <f>INT(FREE_LABOR+(MILPOP-DEPLOYED)/4)</f>
        <v>1223</v>
      </c>
      <c r="L3" s="215" t="s">
        <v>102</v>
      </c>
      <c r="M3" s="48">
        <f>INT(3*MIN(K4,K3))*10</f>
        <v>33000</v>
      </c>
    </row>
    <row r="4" spans="1:17">
      <c r="D4" s="169">
        <f>STONE</f>
        <v>2700</v>
      </c>
      <c r="E4" s="3" t="s">
        <v>176</v>
      </c>
      <c r="G4" s="16">
        <f>Income!F14+Income!F15</f>
        <v>45</v>
      </c>
      <c r="I4" s="185" t="s">
        <v>284</v>
      </c>
      <c r="K4">
        <f>Expenses!A22*11</f>
        <v>1100</v>
      </c>
    </row>
    <row r="5" spans="1:17">
      <c r="D5" s="169">
        <f>Income!J11</f>
        <v>10</v>
      </c>
      <c r="E5" s="3" t="s">
        <v>175</v>
      </c>
      <c r="G5" s="16">
        <f>Income!F11</f>
        <v>6</v>
      </c>
    </row>
    <row r="6" spans="1:17">
      <c r="D6" s="3"/>
    </row>
    <row r="7" spans="1:17" ht="24">
      <c r="A7" s="144">
        <v>2520000</v>
      </c>
      <c r="B7" s="144">
        <v>180000</v>
      </c>
      <c r="C7" s="144">
        <v>60000</v>
      </c>
      <c r="D7" s="145" t="s">
        <v>158</v>
      </c>
      <c r="K7" s="199" t="s">
        <v>207</v>
      </c>
    </row>
    <row r="8" spans="1:17">
      <c r="A8" s="150">
        <v>-63800</v>
      </c>
      <c r="B8" s="151">
        <v>-1320</v>
      </c>
      <c r="C8" s="152">
        <v>-5910</v>
      </c>
      <c r="D8" s="172">
        <v>30</v>
      </c>
      <c r="E8" s="174" t="s">
        <v>157</v>
      </c>
      <c r="K8" s="3" t="s">
        <v>274</v>
      </c>
      <c r="L8" s="3" t="s">
        <v>275</v>
      </c>
    </row>
    <row r="9" spans="1:17">
      <c r="A9" s="153">
        <v>-500000</v>
      </c>
      <c r="B9" s="154">
        <v>-50000</v>
      </c>
      <c r="C9" s="155"/>
      <c r="D9" s="132"/>
      <c r="E9" s="175" t="s">
        <v>155</v>
      </c>
      <c r="K9" s="200"/>
      <c r="L9" s="309" t="s">
        <v>318</v>
      </c>
      <c r="M9" s="309"/>
      <c r="N9" s="309"/>
      <c r="O9" s="309"/>
      <c r="P9" s="309"/>
      <c r="Q9" s="310"/>
    </row>
    <row r="10" spans="1:17">
      <c r="A10" s="153">
        <v>-1375000</v>
      </c>
      <c r="B10" s="154">
        <v>-55000</v>
      </c>
      <c r="C10" s="155"/>
      <c r="D10" s="132"/>
      <c r="E10" s="175" t="s">
        <v>154</v>
      </c>
      <c r="K10" s="200"/>
      <c r="L10" s="308"/>
      <c r="M10" s="309"/>
      <c r="N10" s="309"/>
      <c r="O10" s="309"/>
      <c r="P10" s="309"/>
      <c r="Q10" s="310"/>
    </row>
    <row r="11" spans="1:17">
      <c r="A11" s="156">
        <v>-263000</v>
      </c>
      <c r="B11" s="157">
        <v>-6340</v>
      </c>
      <c r="C11" s="158">
        <v>-20100</v>
      </c>
      <c r="D11" s="173">
        <v>1056</v>
      </c>
      <c r="E11" s="132" t="s">
        <v>159</v>
      </c>
      <c r="K11" s="200" t="s">
        <v>288</v>
      </c>
      <c r="L11" s="308" t="s">
        <v>317</v>
      </c>
      <c r="M11" s="309"/>
      <c r="N11" s="309"/>
      <c r="O11" s="309"/>
      <c r="P11" s="309"/>
      <c r="Q11" s="310"/>
    </row>
    <row r="12" spans="1:17">
      <c r="A12" s="156">
        <v>-23200</v>
      </c>
      <c r="B12" s="157">
        <v>-618</v>
      </c>
      <c r="C12" s="158">
        <v>-1140</v>
      </c>
      <c r="D12" s="173">
        <v>103</v>
      </c>
      <c r="E12" s="132" t="s">
        <v>160</v>
      </c>
      <c r="K12" s="200" t="s">
        <v>316</v>
      </c>
      <c r="L12" s="308" t="s">
        <v>315</v>
      </c>
      <c r="M12" s="309"/>
      <c r="N12" s="309"/>
      <c r="O12" s="309"/>
      <c r="P12" s="309"/>
      <c r="Q12" s="310"/>
    </row>
    <row r="13" spans="1:17">
      <c r="A13" s="156">
        <v>-157000</v>
      </c>
      <c r="B13" s="157">
        <v>-5040</v>
      </c>
      <c r="C13" s="158"/>
      <c r="D13" s="173">
        <v>21</v>
      </c>
      <c r="E13" s="132" t="s">
        <v>161</v>
      </c>
      <c r="K13" s="200"/>
      <c r="L13" s="308"/>
      <c r="M13" s="309"/>
      <c r="N13" s="309"/>
      <c r="O13" s="309"/>
      <c r="P13" s="309"/>
      <c r="Q13" s="310"/>
    </row>
    <row r="14" spans="1:17">
      <c r="A14" s="156">
        <v>-81900</v>
      </c>
      <c r="B14" s="157">
        <v>-2640</v>
      </c>
      <c r="C14" s="158"/>
      <c r="D14" s="173">
        <v>11</v>
      </c>
      <c r="E14" s="132" t="s">
        <v>162</v>
      </c>
      <c r="K14" s="200"/>
      <c r="L14" s="308"/>
      <c r="M14" s="309"/>
      <c r="N14" s="309"/>
      <c r="O14" s="309"/>
      <c r="P14" s="309"/>
      <c r="Q14" s="310"/>
    </row>
    <row r="15" spans="1:17">
      <c r="A15" s="156">
        <v>-44700</v>
      </c>
      <c r="B15" s="157">
        <v>-1440</v>
      </c>
      <c r="C15" s="158"/>
      <c r="D15" s="173">
        <v>6</v>
      </c>
      <c r="E15" s="132" t="s">
        <v>163</v>
      </c>
      <c r="K15" s="200"/>
      <c r="L15" s="308"/>
      <c r="M15" s="309"/>
      <c r="N15" s="309"/>
      <c r="O15" s="309"/>
      <c r="P15" s="309"/>
      <c r="Q15" s="310"/>
    </row>
    <row r="16" spans="1:17">
      <c r="A16" s="156">
        <v>-52500</v>
      </c>
      <c r="B16" s="157">
        <v>-1620</v>
      </c>
      <c r="C16" s="158"/>
      <c r="D16" s="173">
        <v>54</v>
      </c>
      <c r="E16" s="132" t="s">
        <v>164</v>
      </c>
      <c r="K16" s="200"/>
      <c r="L16" s="308"/>
      <c r="M16" s="309"/>
      <c r="N16" s="309"/>
      <c r="O16" s="309"/>
      <c r="P16" s="309"/>
      <c r="Q16" s="310"/>
    </row>
    <row r="17" spans="1:17">
      <c r="A17" s="156">
        <v>-36800</v>
      </c>
      <c r="B17" s="157">
        <v>-105</v>
      </c>
      <c r="C17" s="158"/>
      <c r="D17" s="173">
        <v>18</v>
      </c>
      <c r="E17" s="132" t="s">
        <v>165</v>
      </c>
      <c r="K17" s="200"/>
      <c r="L17" s="308"/>
      <c r="M17" s="309"/>
      <c r="N17" s="309"/>
      <c r="O17" s="309"/>
      <c r="P17" s="309"/>
      <c r="Q17" s="310"/>
    </row>
    <row r="18" spans="1:17">
      <c r="A18" s="156">
        <v>-9546</v>
      </c>
      <c r="B18" s="157">
        <v>-309</v>
      </c>
      <c r="C18" s="158"/>
      <c r="D18" s="173">
        <v>3</v>
      </c>
      <c r="E18" s="132" t="s">
        <v>166</v>
      </c>
      <c r="K18" s="200"/>
      <c r="L18" s="308"/>
      <c r="M18" s="309"/>
      <c r="N18" s="309"/>
      <c r="O18" s="309"/>
      <c r="P18" s="309"/>
      <c r="Q18" s="310"/>
    </row>
    <row r="19" spans="1:17">
      <c r="A19" s="156">
        <v>-10800</v>
      </c>
      <c r="B19" s="157">
        <v>-213</v>
      </c>
      <c r="C19" s="158"/>
      <c r="D19" s="173">
        <v>1</v>
      </c>
      <c r="E19" s="132" t="s">
        <v>167</v>
      </c>
      <c r="K19" s="200"/>
      <c r="L19" s="308"/>
      <c r="M19" s="309"/>
      <c r="N19" s="309"/>
      <c r="O19" s="309"/>
      <c r="P19" s="309"/>
      <c r="Q19" s="310"/>
    </row>
    <row r="20" spans="1:17" s="147" customFormat="1">
      <c r="A20" s="159">
        <v>131000</v>
      </c>
      <c r="B20" s="160"/>
      <c r="C20" s="161"/>
      <c r="D20" s="171"/>
      <c r="E20" s="171" t="s">
        <v>174</v>
      </c>
      <c r="K20" s="200"/>
      <c r="L20" s="308"/>
      <c r="M20" s="309"/>
      <c r="N20" s="309"/>
      <c r="O20" s="309"/>
      <c r="P20" s="309"/>
      <c r="Q20" s="310"/>
    </row>
    <row r="21" spans="1:17">
      <c r="A21" s="156">
        <v>-2000</v>
      </c>
      <c r="B21" s="157"/>
      <c r="C21" s="158"/>
      <c r="D21" s="132"/>
      <c r="E21" s="132" t="s">
        <v>286</v>
      </c>
      <c r="K21" s="200"/>
      <c r="L21" s="308"/>
      <c r="M21" s="309"/>
      <c r="N21" s="309"/>
      <c r="O21" s="309"/>
      <c r="P21" s="309"/>
      <c r="Q21" s="310"/>
    </row>
    <row r="22" spans="1:17">
      <c r="A22" s="156">
        <v>-80000</v>
      </c>
      <c r="B22" s="157"/>
      <c r="C22" s="158"/>
      <c r="D22" s="132"/>
      <c r="E22" s="175" t="s">
        <v>287</v>
      </c>
      <c r="K22" s="200"/>
      <c r="L22" s="308"/>
      <c r="M22" s="309"/>
      <c r="N22" s="309"/>
      <c r="O22" s="309"/>
      <c r="P22" s="309"/>
      <c r="Q22" s="310"/>
    </row>
    <row r="23" spans="1:17">
      <c r="A23" s="156">
        <v>56880</v>
      </c>
      <c r="B23" s="157"/>
      <c r="C23" s="158"/>
      <c r="D23" s="132"/>
      <c r="E23" s="132" t="s">
        <v>292</v>
      </c>
      <c r="K23" s="200"/>
      <c r="L23" s="308"/>
      <c r="M23" s="309"/>
      <c r="N23" s="309"/>
      <c r="O23" s="309"/>
      <c r="P23" s="309"/>
      <c r="Q23" s="310"/>
    </row>
    <row r="24" spans="1:17">
      <c r="A24" s="156">
        <v>42960</v>
      </c>
      <c r="B24" s="157"/>
      <c r="C24" s="158"/>
      <c r="D24" s="132"/>
      <c r="E24" s="132" t="s">
        <v>295</v>
      </c>
      <c r="K24" s="200"/>
      <c r="L24" s="308"/>
      <c r="M24" s="309"/>
      <c r="N24" s="309"/>
      <c r="O24" s="309"/>
      <c r="P24" s="309"/>
      <c r="Q24" s="310"/>
    </row>
    <row r="25" spans="1:17">
      <c r="A25" s="156">
        <v>-840</v>
      </c>
      <c r="B25" s="157">
        <v>-42</v>
      </c>
      <c r="C25" s="158"/>
      <c r="D25" s="132"/>
      <c r="E25" s="175" t="s">
        <v>293</v>
      </c>
      <c r="K25" s="200"/>
      <c r="L25" s="308"/>
      <c r="M25" s="309"/>
      <c r="N25" s="309"/>
      <c r="O25" s="309"/>
      <c r="P25" s="309"/>
      <c r="Q25" s="310"/>
    </row>
    <row r="26" spans="1:17">
      <c r="A26" s="156">
        <v>-36864</v>
      </c>
      <c r="B26" s="157">
        <v>-3072</v>
      </c>
      <c r="C26" s="158"/>
      <c r="D26" s="132"/>
      <c r="E26" s="175" t="s">
        <v>296</v>
      </c>
      <c r="K26" s="200"/>
      <c r="L26" s="308"/>
      <c r="M26" s="309"/>
      <c r="N26" s="309"/>
      <c r="O26" s="309"/>
      <c r="P26" s="309"/>
      <c r="Q26" s="310"/>
    </row>
    <row r="27" spans="1:17">
      <c r="A27" s="156">
        <v>28410</v>
      </c>
      <c r="B27" s="157"/>
      <c r="C27" s="158"/>
      <c r="D27" s="132"/>
      <c r="E27" s="132" t="s">
        <v>314</v>
      </c>
      <c r="K27" s="200"/>
      <c r="L27" s="308"/>
      <c r="M27" s="309"/>
      <c r="N27" s="309"/>
      <c r="O27" s="309"/>
      <c r="P27" s="309"/>
      <c r="Q27" s="310"/>
    </row>
    <row r="28" spans="1:17">
      <c r="A28" s="156">
        <v>-56000</v>
      </c>
      <c r="B28" s="157">
        <v>-3060</v>
      </c>
      <c r="C28" s="158"/>
      <c r="D28" s="132"/>
      <c r="E28" s="132" t="s">
        <v>357</v>
      </c>
      <c r="K28" s="200"/>
      <c r="L28" s="308"/>
      <c r="M28" s="309"/>
      <c r="N28" s="309"/>
      <c r="O28" s="309"/>
      <c r="P28" s="309"/>
      <c r="Q28" s="310"/>
    </row>
    <row r="29" spans="1:17">
      <c r="A29" s="156"/>
      <c r="B29" s="157"/>
      <c r="C29" s="158"/>
      <c r="D29" s="132"/>
      <c r="E29" s="132"/>
      <c r="K29" s="200"/>
      <c r="L29" s="308"/>
      <c r="M29" s="309"/>
      <c r="N29" s="309"/>
      <c r="O29" s="309"/>
      <c r="P29" s="309"/>
      <c r="Q29" s="310"/>
    </row>
    <row r="30" spans="1:17">
      <c r="A30" s="156"/>
      <c r="B30" s="157"/>
      <c r="C30" s="158"/>
      <c r="D30" s="132"/>
      <c r="E30" s="132"/>
      <c r="K30" s="200"/>
      <c r="L30" s="308"/>
      <c r="M30" s="309"/>
      <c r="N30" s="309"/>
      <c r="O30" s="309"/>
      <c r="P30" s="309"/>
      <c r="Q30" s="310"/>
    </row>
    <row r="31" spans="1:17">
      <c r="A31" s="156"/>
      <c r="B31" s="157"/>
      <c r="C31" s="158"/>
      <c r="D31" s="132"/>
      <c r="E31" s="132"/>
      <c r="K31" s="200"/>
      <c r="L31" s="308"/>
      <c r="M31" s="309"/>
      <c r="N31" s="309"/>
      <c r="O31" s="309"/>
      <c r="P31" s="309"/>
      <c r="Q31" s="310"/>
    </row>
    <row r="32" spans="1:17">
      <c r="A32" s="156"/>
      <c r="B32" s="157"/>
      <c r="C32" s="158"/>
      <c r="D32" s="132"/>
      <c r="E32" s="132"/>
      <c r="K32" s="200"/>
      <c r="L32" s="308"/>
      <c r="M32" s="309"/>
      <c r="N32" s="309"/>
      <c r="O32" s="309"/>
      <c r="P32" s="309"/>
      <c r="Q32" s="310"/>
    </row>
    <row r="33" spans="1:16">
      <c r="A33" s="156"/>
      <c r="B33" s="157"/>
      <c r="C33" s="158"/>
      <c r="D33" s="132"/>
      <c r="E33" s="132"/>
      <c r="N33" s="132"/>
      <c r="O33" s="132"/>
      <c r="P33" s="132"/>
    </row>
    <row r="34" spans="1:16">
      <c r="A34" s="156"/>
      <c r="B34" s="157"/>
      <c r="C34" s="158"/>
      <c r="D34" s="132"/>
      <c r="E34" s="132"/>
      <c r="N34" s="132"/>
      <c r="O34" s="132"/>
      <c r="P34" s="132"/>
    </row>
    <row r="35" spans="1:16">
      <c r="A35" s="156"/>
      <c r="B35" s="157"/>
      <c r="C35" s="158"/>
      <c r="D35" s="132"/>
      <c r="E35" s="132"/>
      <c r="N35" s="132"/>
      <c r="O35" s="132"/>
      <c r="P35" s="132"/>
    </row>
    <row r="36" spans="1:16">
      <c r="A36" s="156"/>
      <c r="B36" s="157"/>
      <c r="C36" s="158"/>
      <c r="D36" s="132"/>
      <c r="E36" s="132"/>
      <c r="N36" s="132"/>
      <c r="O36" s="132"/>
      <c r="P36" s="132"/>
    </row>
    <row r="37" spans="1:16">
      <c r="A37" s="162"/>
      <c r="B37" s="163"/>
      <c r="C37" s="164"/>
      <c r="D37" s="132"/>
      <c r="E37" s="132"/>
      <c r="N37" s="132"/>
      <c r="O37" s="132"/>
      <c r="P37" s="132"/>
    </row>
    <row r="38" spans="1:16">
      <c r="A38" s="162"/>
      <c r="B38" s="163"/>
      <c r="C38" s="164"/>
      <c r="D38" s="132"/>
      <c r="E38" s="132"/>
      <c r="N38" s="132"/>
      <c r="O38" s="132"/>
      <c r="P38" s="132"/>
    </row>
    <row r="39" spans="1:16">
      <c r="A39" s="162"/>
      <c r="B39" s="163"/>
      <c r="C39" s="164"/>
      <c r="D39" s="132"/>
      <c r="E39" s="132"/>
      <c r="N39" s="132"/>
      <c r="O39" s="132"/>
      <c r="P39" s="132"/>
    </row>
    <row r="40" spans="1:16">
      <c r="A40" s="162"/>
      <c r="B40" s="163"/>
      <c r="C40" s="164"/>
      <c r="D40" s="132"/>
      <c r="E40" s="132"/>
      <c r="N40" s="132"/>
      <c r="O40" s="132"/>
      <c r="P40" s="132"/>
    </row>
    <row r="41" spans="1:16">
      <c r="A41" s="162"/>
      <c r="B41" s="163"/>
      <c r="C41" s="164"/>
      <c r="D41" s="132"/>
      <c r="E41" s="132"/>
      <c r="N41" s="132"/>
      <c r="O41" s="132"/>
      <c r="P41" s="132"/>
    </row>
    <row r="42" spans="1:16">
      <c r="A42" s="162"/>
      <c r="B42" s="163"/>
      <c r="C42" s="164"/>
      <c r="D42" s="132"/>
      <c r="E42" s="132"/>
      <c r="N42" s="132"/>
      <c r="O42" s="132"/>
      <c r="P42" s="132"/>
    </row>
    <row r="43" spans="1:16">
      <c r="A43" s="162"/>
      <c r="B43" s="163"/>
      <c r="C43" s="164"/>
      <c r="D43" s="132"/>
      <c r="E43" s="132"/>
      <c r="N43" s="132"/>
      <c r="O43" s="132"/>
      <c r="P43" s="132"/>
    </row>
    <row r="44" spans="1:16">
      <c r="A44" s="162"/>
      <c r="B44" s="163"/>
      <c r="C44" s="164"/>
      <c r="D44" s="132"/>
      <c r="E44" s="132"/>
      <c r="N44" s="132"/>
      <c r="O44" s="132"/>
      <c r="P44" s="132"/>
    </row>
    <row r="45" spans="1:16">
      <c r="A45" s="162"/>
      <c r="B45" s="163"/>
      <c r="C45" s="164"/>
      <c r="D45" s="132"/>
      <c r="E45" s="132"/>
      <c r="N45" s="132"/>
      <c r="O45" s="132"/>
      <c r="P45" s="132"/>
    </row>
    <row r="46" spans="1:16">
      <c r="A46" s="162"/>
      <c r="B46" s="163"/>
      <c r="C46" s="164"/>
      <c r="D46" s="132"/>
      <c r="E46" s="132"/>
      <c r="N46" s="132"/>
      <c r="O46" s="132"/>
      <c r="P46" s="132"/>
    </row>
    <row r="47" spans="1:16">
      <c r="A47" s="162"/>
      <c r="B47" s="163"/>
      <c r="C47" s="164"/>
      <c r="D47" s="132"/>
      <c r="E47" s="132"/>
      <c r="N47" s="132"/>
      <c r="O47" s="132"/>
      <c r="P47" s="132"/>
    </row>
    <row r="48" spans="1:16">
      <c r="A48" s="162"/>
      <c r="B48" s="163"/>
      <c r="C48" s="164"/>
      <c r="D48" s="132"/>
      <c r="E48" s="132"/>
      <c r="N48" s="132"/>
      <c r="O48" s="132"/>
      <c r="P48" s="132"/>
    </row>
    <row r="49" spans="1:16">
      <c r="A49" s="162"/>
      <c r="B49" s="163"/>
      <c r="C49" s="164"/>
      <c r="D49" s="132"/>
      <c r="E49" s="132"/>
      <c r="N49" s="132"/>
      <c r="O49" s="132"/>
      <c r="P49" s="132"/>
    </row>
    <row r="50" spans="1:16">
      <c r="A50" s="162"/>
      <c r="B50" s="163"/>
      <c r="C50" s="164"/>
      <c r="D50" s="132"/>
      <c r="E50" s="132"/>
      <c r="N50" s="132"/>
      <c r="O50" s="132"/>
      <c r="P50" s="132"/>
    </row>
    <row r="51" spans="1:16">
      <c r="A51" s="162"/>
      <c r="B51" s="163"/>
      <c r="C51" s="164"/>
      <c r="D51" s="132"/>
      <c r="E51" s="132"/>
      <c r="N51" s="132"/>
      <c r="O51" s="132"/>
      <c r="P51" s="132"/>
    </row>
    <row r="52" spans="1:16">
      <c r="A52" s="162"/>
      <c r="B52" s="163"/>
      <c r="C52" s="164"/>
      <c r="D52" s="132"/>
      <c r="E52" s="132"/>
      <c r="N52" s="132"/>
      <c r="O52" s="132"/>
      <c r="P52" s="132"/>
    </row>
    <row r="53" spans="1:16">
      <c r="A53" s="162"/>
      <c r="B53" s="163"/>
      <c r="C53" s="164"/>
      <c r="D53" s="132"/>
      <c r="E53" s="132"/>
      <c r="N53" s="132"/>
      <c r="O53" s="132"/>
      <c r="P53" s="132"/>
    </row>
    <row r="54" spans="1:16">
      <c r="A54" s="162"/>
      <c r="B54" s="163"/>
      <c r="C54" s="164"/>
      <c r="D54" s="132"/>
      <c r="E54" s="132"/>
      <c r="N54" s="132"/>
      <c r="O54" s="132"/>
      <c r="P54" s="132"/>
    </row>
    <row r="55" spans="1:16">
      <c r="A55" s="162"/>
      <c r="B55" s="163"/>
      <c r="C55" s="164"/>
      <c r="D55" s="132"/>
      <c r="E55" s="132"/>
      <c r="N55" s="132"/>
      <c r="O55" s="132"/>
      <c r="P55" s="132"/>
    </row>
    <row r="56" spans="1:16">
      <c r="A56" s="162"/>
      <c r="B56" s="163"/>
      <c r="C56" s="164"/>
      <c r="D56" s="132"/>
      <c r="E56" s="132"/>
      <c r="N56" s="132"/>
      <c r="O56" s="132"/>
      <c r="P56" s="132"/>
    </row>
    <row r="57" spans="1:16">
      <c r="A57" s="162"/>
      <c r="B57" s="163"/>
      <c r="C57" s="164"/>
      <c r="D57" s="132"/>
      <c r="E57" s="132"/>
      <c r="N57" s="132"/>
      <c r="O57" s="132"/>
      <c r="P57" s="132"/>
    </row>
    <row r="58" spans="1:16">
      <c r="A58" s="162"/>
      <c r="B58" s="163"/>
      <c r="C58" s="164"/>
      <c r="D58" s="132"/>
      <c r="E58" s="132"/>
      <c r="N58" s="132"/>
      <c r="O58" s="132"/>
      <c r="P58" s="132"/>
    </row>
    <row r="59" spans="1:16">
      <c r="A59" s="162"/>
      <c r="B59" s="163"/>
      <c r="C59" s="164"/>
      <c r="D59" s="132"/>
      <c r="E59" s="132"/>
      <c r="N59" s="132"/>
      <c r="O59" s="132"/>
      <c r="P59" s="132"/>
    </row>
    <row r="60" spans="1:16">
      <c r="A60" s="162"/>
      <c r="B60" s="163"/>
      <c r="C60" s="164"/>
      <c r="D60" s="132"/>
      <c r="E60" s="132"/>
      <c r="N60" s="132"/>
      <c r="O60" s="132"/>
      <c r="P60" s="132"/>
    </row>
    <row r="61" spans="1:16">
      <c r="A61" s="162"/>
      <c r="B61" s="163"/>
      <c r="C61" s="164"/>
      <c r="D61" s="132"/>
      <c r="E61" s="132"/>
      <c r="N61" s="132"/>
      <c r="O61" s="132"/>
      <c r="P61" s="132"/>
    </row>
    <row r="62" spans="1:16">
      <c r="A62" s="162"/>
      <c r="B62" s="163"/>
      <c r="C62" s="164"/>
      <c r="D62" s="132"/>
      <c r="E62" s="132"/>
      <c r="N62" s="132"/>
      <c r="O62" s="132"/>
      <c r="P62" s="132"/>
    </row>
    <row r="63" spans="1:16">
      <c r="A63" s="162"/>
      <c r="B63" s="163"/>
      <c r="C63" s="164"/>
      <c r="D63" s="132"/>
      <c r="E63" s="132"/>
      <c r="N63" s="132"/>
      <c r="O63" s="132"/>
      <c r="P63" s="132"/>
    </row>
    <row r="64" spans="1:16">
      <c r="A64" s="162"/>
      <c r="B64" s="163"/>
      <c r="C64" s="164"/>
      <c r="D64" s="132"/>
      <c r="E64" s="132"/>
      <c r="N64" s="132"/>
      <c r="O64" s="132"/>
      <c r="P64" s="132"/>
    </row>
    <row r="65" spans="1:16">
      <c r="A65" s="162"/>
      <c r="B65" s="163"/>
      <c r="C65" s="164"/>
      <c r="D65" s="132"/>
      <c r="E65" s="132"/>
      <c r="N65" s="132"/>
      <c r="O65" s="132"/>
      <c r="P65" s="132"/>
    </row>
    <row r="66" spans="1:16">
      <c r="A66" s="165"/>
      <c r="B66" s="166"/>
      <c r="C66" s="167"/>
      <c r="D66" s="132"/>
      <c r="E66" s="132"/>
      <c r="N66" s="132"/>
      <c r="O66" s="132"/>
      <c r="P66" s="132"/>
    </row>
  </sheetData>
  <sheetProtection sheet="1" objects="1" scenarios="1" selectLockedCells="1"/>
  <mergeCells count="24">
    <mergeCell ref="L15:Q15"/>
    <mergeCell ref="L9:Q9"/>
    <mergeCell ref="L16:Q16"/>
    <mergeCell ref="L17:Q17"/>
    <mergeCell ref="L18:Q18"/>
    <mergeCell ref="L10:Q10"/>
    <mergeCell ref="L11:Q11"/>
    <mergeCell ref="L12:Q12"/>
    <mergeCell ref="L13:Q13"/>
    <mergeCell ref="L14:Q14"/>
    <mergeCell ref="L19:Q19"/>
    <mergeCell ref="L20:Q20"/>
    <mergeCell ref="L21:Q21"/>
    <mergeCell ref="L22:Q22"/>
    <mergeCell ref="L23:Q23"/>
    <mergeCell ref="L29:Q29"/>
    <mergeCell ref="L30:Q30"/>
    <mergeCell ref="L31:Q31"/>
    <mergeCell ref="L32:Q32"/>
    <mergeCell ref="L24:Q24"/>
    <mergeCell ref="L25:Q25"/>
    <mergeCell ref="L26:Q26"/>
    <mergeCell ref="L27:Q27"/>
    <mergeCell ref="L28:Q28"/>
  </mergeCells>
  <pageMargins left="0.75" right="0.75" top="1" bottom="1" header="0.5" footer="0.5"/>
  <pageSetup orientation="portrait" horizontalDpi="4294967292" verticalDpi="4294967292"/>
  <ignoredErrors>
    <ignoredError sqref="A3:C3" emptyCellReference="1"/>
  </ignoredErrors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theme="0" tint="-0.14999847407452621"/>
  </sheetPr>
  <dimension ref="A1:G93"/>
  <sheetViews>
    <sheetView topLeftCell="A63" workbookViewId="0">
      <selection activeCell="I72" sqref="I72"/>
    </sheetView>
  </sheetViews>
  <sheetFormatPr baseColWidth="10" defaultRowHeight="15" x14ac:dyDescent="0"/>
  <sheetData>
    <row r="1" spans="1:7">
      <c r="A1" t="s">
        <v>276</v>
      </c>
      <c r="B1" t="s">
        <v>277</v>
      </c>
    </row>
    <row r="2" spans="1:7">
      <c r="B2" t="s">
        <v>208</v>
      </c>
    </row>
    <row r="3" spans="1:7">
      <c r="B3" t="s">
        <v>209</v>
      </c>
      <c r="G3" s="130" t="s">
        <v>210</v>
      </c>
    </row>
    <row r="4" spans="1:7">
      <c r="B4" t="s">
        <v>347</v>
      </c>
      <c r="G4" s="130" t="s">
        <v>349</v>
      </c>
    </row>
    <row r="5" spans="1:7">
      <c r="B5" t="s">
        <v>348</v>
      </c>
      <c r="G5" s="130" t="s">
        <v>349</v>
      </c>
    </row>
    <row r="6" spans="1:7">
      <c r="B6" t="s">
        <v>211</v>
      </c>
    </row>
    <row r="7" spans="1:7">
      <c r="B7" t="s">
        <v>212</v>
      </c>
    </row>
    <row r="9" spans="1:7">
      <c r="B9" t="s">
        <v>213</v>
      </c>
    </row>
    <row r="12" spans="1:7">
      <c r="A12" t="s">
        <v>214</v>
      </c>
    </row>
    <row r="13" spans="1:7">
      <c r="A13" t="s">
        <v>215</v>
      </c>
    </row>
    <row r="14" spans="1:7">
      <c r="B14" t="s">
        <v>208</v>
      </c>
    </row>
    <row r="15" spans="1:7">
      <c r="B15" t="s">
        <v>216</v>
      </c>
      <c r="G15" s="130" t="s">
        <v>210</v>
      </c>
    </row>
    <row r="16" spans="1:7">
      <c r="B16" t="s">
        <v>350</v>
      </c>
      <c r="G16" s="130" t="s">
        <v>349</v>
      </c>
    </row>
    <row r="17" spans="1:7">
      <c r="B17" t="s">
        <v>351</v>
      </c>
      <c r="G17" s="130" t="s">
        <v>349</v>
      </c>
    </row>
    <row r="18" spans="1:7">
      <c r="B18" t="s">
        <v>217</v>
      </c>
    </row>
    <row r="19" spans="1:7">
      <c r="B19" t="s">
        <v>212</v>
      </c>
    </row>
    <row r="21" spans="1:7">
      <c r="B21" t="s">
        <v>218</v>
      </c>
    </row>
    <row r="24" spans="1:7">
      <c r="A24" t="s">
        <v>219</v>
      </c>
    </row>
    <row r="25" spans="1:7">
      <c r="A25" t="s">
        <v>220</v>
      </c>
    </row>
    <row r="26" spans="1:7">
      <c r="B26" t="s">
        <v>221</v>
      </c>
    </row>
    <row r="27" spans="1:7">
      <c r="B27" t="s">
        <v>222</v>
      </c>
    </row>
    <row r="28" spans="1:7">
      <c r="B28" t="s">
        <v>223</v>
      </c>
    </row>
    <row r="29" spans="1:7">
      <c r="B29" t="s">
        <v>224</v>
      </c>
    </row>
    <row r="30" spans="1:7">
      <c r="B30" t="s">
        <v>225</v>
      </c>
    </row>
    <row r="32" spans="1:7">
      <c r="B32" t="s">
        <v>226</v>
      </c>
    </row>
    <row r="35" spans="1:2">
      <c r="A35" t="s">
        <v>227</v>
      </c>
    </row>
    <row r="36" spans="1:2">
      <c r="A36" t="s">
        <v>228</v>
      </c>
    </row>
    <row r="37" spans="1:2">
      <c r="B37" t="s">
        <v>229</v>
      </c>
    </row>
    <row r="38" spans="1:2">
      <c r="B38" t="s">
        <v>230</v>
      </c>
    </row>
    <row r="40" spans="1:2">
      <c r="B40" t="s">
        <v>231</v>
      </c>
    </row>
    <row r="43" spans="1:2">
      <c r="A43" t="s">
        <v>232</v>
      </c>
    </row>
    <row r="44" spans="1:2">
      <c r="A44" t="s">
        <v>233</v>
      </c>
    </row>
    <row r="45" spans="1:2">
      <c r="B45" t="s">
        <v>234</v>
      </c>
    </row>
    <row r="46" spans="1:2">
      <c r="B46" t="s">
        <v>235</v>
      </c>
    </row>
    <row r="47" spans="1:2">
      <c r="B47" t="s">
        <v>236</v>
      </c>
    </row>
    <row r="48" spans="1:2">
      <c r="B48" t="s">
        <v>237</v>
      </c>
    </row>
    <row r="49" spans="1:2">
      <c r="B49" t="s">
        <v>225</v>
      </c>
    </row>
    <row r="51" spans="1:2">
      <c r="B51" t="s">
        <v>238</v>
      </c>
    </row>
    <row r="54" spans="1:2">
      <c r="A54" t="s">
        <v>239</v>
      </c>
    </row>
    <row r="55" spans="1:2">
      <c r="A55" t="s">
        <v>240</v>
      </c>
    </row>
    <row r="56" spans="1:2">
      <c r="B56" t="s">
        <v>241</v>
      </c>
    </row>
    <row r="57" spans="1:2">
      <c r="B57" t="s">
        <v>242</v>
      </c>
    </row>
    <row r="58" spans="1:2">
      <c r="B58" t="s">
        <v>243</v>
      </c>
    </row>
    <row r="59" spans="1:2">
      <c r="B59" t="s">
        <v>244</v>
      </c>
    </row>
    <row r="60" spans="1:2">
      <c r="B60" t="s">
        <v>245</v>
      </c>
    </row>
    <row r="61" spans="1:2">
      <c r="B61" t="s">
        <v>246</v>
      </c>
    </row>
    <row r="63" spans="1:2">
      <c r="B63" t="s">
        <v>247</v>
      </c>
    </row>
    <row r="66" spans="1:6">
      <c r="A66" t="s">
        <v>248</v>
      </c>
    </row>
    <row r="67" spans="1:6">
      <c r="A67" t="s">
        <v>352</v>
      </c>
    </row>
    <row r="68" spans="1:6">
      <c r="A68" t="s">
        <v>249</v>
      </c>
    </row>
    <row r="69" spans="1:6">
      <c r="A69" t="s">
        <v>250</v>
      </c>
    </row>
    <row r="70" spans="1:6">
      <c r="B70" t="s">
        <v>251</v>
      </c>
    </row>
    <row r="71" spans="1:6">
      <c r="B71" t="s">
        <v>252</v>
      </c>
    </row>
    <row r="72" spans="1:6">
      <c r="B72" t="s">
        <v>253</v>
      </c>
    </row>
    <row r="73" spans="1:6">
      <c r="B73" t="s">
        <v>254</v>
      </c>
    </row>
    <row r="74" spans="1:6">
      <c r="B74" t="s">
        <v>255</v>
      </c>
    </row>
    <row r="75" spans="1:6">
      <c r="B75" t="s">
        <v>256</v>
      </c>
    </row>
    <row r="77" spans="1:6">
      <c r="B77" t="s">
        <v>257</v>
      </c>
      <c r="F77" t="s">
        <v>258</v>
      </c>
    </row>
    <row r="80" spans="1:6">
      <c r="A80" t="s">
        <v>259</v>
      </c>
    </row>
    <row r="81" spans="1:6">
      <c r="A81" t="s">
        <v>260</v>
      </c>
    </row>
    <row r="82" spans="1:6">
      <c r="A82" t="s">
        <v>261</v>
      </c>
    </row>
    <row r="83" spans="1:6">
      <c r="A83" t="s">
        <v>262</v>
      </c>
    </row>
    <row r="84" spans="1:6">
      <c r="B84" t="s">
        <v>263</v>
      </c>
      <c r="E84" s="130" t="s">
        <v>273</v>
      </c>
    </row>
    <row r="85" spans="1:6">
      <c r="B85" t="s">
        <v>264</v>
      </c>
    </row>
    <row r="86" spans="1:6">
      <c r="B86" t="s">
        <v>265</v>
      </c>
    </row>
    <row r="87" spans="1:6">
      <c r="B87" t="s">
        <v>266</v>
      </c>
    </row>
    <row r="88" spans="1:6">
      <c r="B88" t="s">
        <v>267</v>
      </c>
    </row>
    <row r="89" spans="1:6">
      <c r="B89" t="s">
        <v>268</v>
      </c>
    </row>
    <row r="90" spans="1:6">
      <c r="B90" t="s">
        <v>269</v>
      </c>
    </row>
    <row r="91" spans="1:6">
      <c r="B91" t="s">
        <v>270</v>
      </c>
    </row>
    <row r="93" spans="1:6">
      <c r="B93" t="s">
        <v>271</v>
      </c>
      <c r="F93" t="s">
        <v>272</v>
      </c>
    </row>
  </sheetData>
  <sheetProtection sheet="1" objects="1" scenarios="1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theme="8" tint="-0.499984740745262"/>
  </sheetPr>
  <dimension ref="A1:F24"/>
  <sheetViews>
    <sheetView showGridLines="0" workbookViewId="0">
      <selection activeCell="E15" sqref="E15:F15"/>
    </sheetView>
  </sheetViews>
  <sheetFormatPr baseColWidth="10" defaultRowHeight="15" x14ac:dyDescent="0"/>
  <cols>
    <col min="5" max="5" width="26" customWidth="1"/>
    <col min="6" max="6" width="97.33203125" customWidth="1"/>
  </cols>
  <sheetData>
    <row r="1" spans="1:6" ht="29">
      <c r="A1" s="137" t="s">
        <v>187</v>
      </c>
    </row>
    <row r="2" spans="1:6">
      <c r="A2" s="191" t="s">
        <v>135</v>
      </c>
      <c r="B2" s="192" t="s">
        <v>188</v>
      </c>
      <c r="C2" s="193" t="s">
        <v>189</v>
      </c>
      <c r="D2" s="190" t="s">
        <v>190</v>
      </c>
    </row>
    <row r="3" spans="1:6">
      <c r="A3" s="101"/>
      <c r="B3" s="101"/>
      <c r="C3" s="101"/>
      <c r="D3" s="189" t="s">
        <v>191</v>
      </c>
    </row>
    <row r="4" spans="1:6">
      <c r="A4" s="194" t="s">
        <v>195</v>
      </c>
      <c r="B4" s="195" t="s">
        <v>194</v>
      </c>
      <c r="C4" s="196" t="s">
        <v>193</v>
      </c>
      <c r="D4" s="197" t="s">
        <v>192</v>
      </c>
    </row>
    <row r="5" spans="1:6">
      <c r="A5" s="198" t="s">
        <v>196</v>
      </c>
      <c r="B5" s="101"/>
      <c r="C5" s="101"/>
      <c r="D5" s="101"/>
    </row>
    <row r="7" spans="1:6" ht="19" thickBot="1">
      <c r="A7" s="187" t="s">
        <v>197</v>
      </c>
      <c r="B7" s="187"/>
      <c r="C7" s="187" t="s">
        <v>198</v>
      </c>
      <c r="D7" s="187"/>
      <c r="E7" s="187" t="s">
        <v>97</v>
      </c>
      <c r="F7" s="186"/>
    </row>
    <row r="8" spans="1:6">
      <c r="A8" s="311" t="s">
        <v>125</v>
      </c>
      <c r="B8" s="311"/>
      <c r="C8" s="312" t="s">
        <v>188</v>
      </c>
      <c r="D8" s="312"/>
      <c r="E8" s="328"/>
      <c r="F8" s="328"/>
    </row>
    <row r="9" spans="1:6">
      <c r="A9" s="313" t="s">
        <v>126</v>
      </c>
      <c r="B9" s="313"/>
      <c r="C9" s="314" t="s">
        <v>189</v>
      </c>
      <c r="D9" s="314"/>
      <c r="E9" s="326"/>
      <c r="F9" s="326"/>
    </row>
    <row r="10" spans="1:6">
      <c r="A10" s="313" t="s">
        <v>123</v>
      </c>
      <c r="B10" s="313"/>
      <c r="C10" s="316" t="s">
        <v>194</v>
      </c>
      <c r="D10" s="316"/>
      <c r="E10" s="326" t="s">
        <v>201</v>
      </c>
      <c r="F10" s="326"/>
    </row>
    <row r="11" spans="1:6">
      <c r="A11" s="313" t="s">
        <v>205</v>
      </c>
      <c r="B11" s="313"/>
      <c r="C11" s="317" t="s">
        <v>190</v>
      </c>
      <c r="D11" s="317"/>
      <c r="E11" s="326" t="s">
        <v>206</v>
      </c>
      <c r="F11" s="326"/>
    </row>
    <row r="12" spans="1:6">
      <c r="A12" s="313" t="s">
        <v>199</v>
      </c>
      <c r="B12" s="313"/>
      <c r="C12" s="315" t="s">
        <v>189</v>
      </c>
      <c r="D12" s="315"/>
      <c r="E12" s="326" t="s">
        <v>200</v>
      </c>
      <c r="F12" s="326"/>
    </row>
    <row r="13" spans="1:6">
      <c r="A13" s="313" t="s">
        <v>202</v>
      </c>
      <c r="B13" s="313"/>
      <c r="C13" s="315" t="s">
        <v>189</v>
      </c>
      <c r="D13" s="315"/>
      <c r="E13" s="326" t="s">
        <v>203</v>
      </c>
      <c r="F13" s="326"/>
    </row>
    <row r="14" spans="1:6">
      <c r="A14" s="313" t="s">
        <v>204</v>
      </c>
      <c r="B14" s="318"/>
      <c r="C14" s="322" t="s">
        <v>188</v>
      </c>
      <c r="D14" s="323"/>
      <c r="E14" s="325"/>
      <c r="F14" s="326"/>
    </row>
    <row r="15" spans="1:6">
      <c r="A15" s="313" t="s">
        <v>127</v>
      </c>
      <c r="B15" s="318"/>
      <c r="C15" s="324" t="s">
        <v>188</v>
      </c>
      <c r="D15" s="324"/>
      <c r="E15" s="325"/>
      <c r="F15" s="326"/>
    </row>
    <row r="16" spans="1:6">
      <c r="A16" s="313" t="s">
        <v>128</v>
      </c>
      <c r="B16" s="318"/>
      <c r="C16" s="319" t="s">
        <v>191</v>
      </c>
      <c r="D16" s="319"/>
      <c r="E16" s="325"/>
      <c r="F16" s="326"/>
    </row>
    <row r="17" spans="1:6">
      <c r="A17" s="313"/>
      <c r="B17" s="318"/>
      <c r="C17" s="320"/>
      <c r="D17" s="321"/>
      <c r="E17" s="325"/>
      <c r="F17" s="326"/>
    </row>
    <row r="18" spans="1:6">
      <c r="A18" s="313"/>
      <c r="B18" s="318"/>
      <c r="C18" s="320"/>
      <c r="D18" s="321"/>
      <c r="E18" s="325"/>
      <c r="F18" s="326"/>
    </row>
    <row r="19" spans="1:6">
      <c r="A19" s="313"/>
      <c r="B19" s="318"/>
      <c r="C19" s="320"/>
      <c r="D19" s="321"/>
      <c r="E19" s="325"/>
      <c r="F19" s="326"/>
    </row>
    <row r="20" spans="1:6">
      <c r="A20" s="313"/>
      <c r="B20" s="318"/>
      <c r="C20" s="320"/>
      <c r="D20" s="321"/>
      <c r="E20" s="325"/>
      <c r="F20" s="326"/>
    </row>
    <row r="21" spans="1:6">
      <c r="A21" s="313"/>
      <c r="B21" s="318"/>
      <c r="C21" s="320"/>
      <c r="D21" s="321"/>
      <c r="E21" s="325"/>
      <c r="F21" s="326"/>
    </row>
    <row r="22" spans="1:6">
      <c r="A22" s="313"/>
      <c r="B22" s="318"/>
      <c r="C22" s="320"/>
      <c r="D22" s="321"/>
      <c r="E22" s="325"/>
      <c r="F22" s="326"/>
    </row>
    <row r="23" spans="1:6">
      <c r="A23" s="313"/>
      <c r="B23" s="318"/>
      <c r="C23" s="329"/>
      <c r="D23" s="330"/>
      <c r="E23" s="325"/>
      <c r="F23" s="326"/>
    </row>
    <row r="24" spans="1:6">
      <c r="A24" s="327"/>
      <c r="B24" s="327"/>
      <c r="C24" s="327"/>
      <c r="D24" s="327"/>
      <c r="E24" s="188"/>
      <c r="F24" s="188"/>
    </row>
  </sheetData>
  <sheetProtection sheet="1" objects="1" scenarios="1" selectLockedCells="1" sort="0"/>
  <sortState ref="A8:F23">
    <sortCondition ref="A8:A23"/>
  </sortState>
  <mergeCells count="50">
    <mergeCell ref="A24:B24"/>
    <mergeCell ref="C24:D24"/>
    <mergeCell ref="E8:F8"/>
    <mergeCell ref="E9:F9"/>
    <mergeCell ref="E10:F10"/>
    <mergeCell ref="E11:F11"/>
    <mergeCell ref="E12:F12"/>
    <mergeCell ref="E13:F13"/>
    <mergeCell ref="E14:F14"/>
    <mergeCell ref="E16:F16"/>
    <mergeCell ref="A22:B22"/>
    <mergeCell ref="C22:D22"/>
    <mergeCell ref="A23:B23"/>
    <mergeCell ref="C23:D23"/>
    <mergeCell ref="E15:F15"/>
    <mergeCell ref="E17:F17"/>
    <mergeCell ref="E22:F22"/>
    <mergeCell ref="E23:F23"/>
    <mergeCell ref="A18:B18"/>
    <mergeCell ref="C18:D18"/>
    <mergeCell ref="A19:B19"/>
    <mergeCell ref="C19:D19"/>
    <mergeCell ref="E18:F18"/>
    <mergeCell ref="E19:F19"/>
    <mergeCell ref="E20:F20"/>
    <mergeCell ref="E21:F21"/>
    <mergeCell ref="A20:B20"/>
    <mergeCell ref="C20:D20"/>
    <mergeCell ref="A21:B21"/>
    <mergeCell ref="C21:D21"/>
    <mergeCell ref="A16:B16"/>
    <mergeCell ref="C16:D16"/>
    <mergeCell ref="A17:B17"/>
    <mergeCell ref="C17:D17"/>
    <mergeCell ref="A14:B14"/>
    <mergeCell ref="C14:D14"/>
    <mergeCell ref="A15:B15"/>
    <mergeCell ref="C15:D15"/>
    <mergeCell ref="A13:B13"/>
    <mergeCell ref="C13:D13"/>
    <mergeCell ref="A10:B10"/>
    <mergeCell ref="C10:D10"/>
    <mergeCell ref="A11:B11"/>
    <mergeCell ref="C11:D11"/>
    <mergeCell ref="A8:B8"/>
    <mergeCell ref="C8:D8"/>
    <mergeCell ref="A9:B9"/>
    <mergeCell ref="C9:D9"/>
    <mergeCell ref="A12:B12"/>
    <mergeCell ref="C12:D1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 enableFormatConditionsCalculation="0">
    <tabColor theme="8" tint="0.59999389629810485"/>
  </sheetPr>
  <dimension ref="A1:AK41"/>
  <sheetViews>
    <sheetView tabSelected="1" workbookViewId="0">
      <selection activeCell="Q15" sqref="Q15"/>
    </sheetView>
  </sheetViews>
  <sheetFormatPr baseColWidth="10" defaultRowHeight="15" x14ac:dyDescent="0"/>
  <cols>
    <col min="1" max="1" width="25.6640625" customWidth="1"/>
    <col min="2" max="2" width="7.83203125" customWidth="1"/>
    <col min="3" max="3" width="7.83203125" style="97" customWidth="1"/>
    <col min="4" max="4" width="10.33203125" style="177" customWidth="1"/>
    <col min="6" max="6" width="1.6640625" customWidth="1"/>
    <col min="7" max="16" width="8.33203125" style="97" customWidth="1"/>
    <col min="17" max="17" width="10.83203125" style="97"/>
    <col min="18" max="18" width="1.6640625" style="97" customWidth="1"/>
    <col min="19" max="19" width="10.83203125" style="97" customWidth="1"/>
    <col min="20" max="27" width="7.1640625" style="97" customWidth="1"/>
    <col min="35" max="35" width="14" customWidth="1"/>
  </cols>
  <sheetData>
    <row r="1" spans="1:37" ht="24">
      <c r="A1" s="199" t="s">
        <v>278</v>
      </c>
      <c r="B1" s="199"/>
      <c r="C1" s="201"/>
      <c r="D1" s="202"/>
    </row>
    <row r="2" spans="1:37">
      <c r="G2" s="331" t="s">
        <v>379</v>
      </c>
      <c r="H2" s="331"/>
      <c r="I2" s="331"/>
      <c r="J2" s="331"/>
      <c r="K2" s="331"/>
      <c r="L2" s="331"/>
      <c r="M2" s="331"/>
      <c r="N2" s="331"/>
      <c r="O2" s="331"/>
      <c r="P2" s="331"/>
      <c r="Q2" s="93"/>
      <c r="T2" s="331" t="s">
        <v>383</v>
      </c>
      <c r="U2" s="331"/>
      <c r="V2" s="331"/>
      <c r="W2" s="331"/>
      <c r="X2" s="331"/>
      <c r="Y2" s="331"/>
      <c r="Z2" s="331"/>
      <c r="AA2" s="331"/>
      <c r="AI2">
        <v>1</v>
      </c>
      <c r="AJ2">
        <v>50</v>
      </c>
    </row>
    <row r="3" spans="1:37" ht="16" thickBot="1">
      <c r="A3" s="212" t="s">
        <v>359</v>
      </c>
      <c r="B3" s="213" t="s">
        <v>385</v>
      </c>
      <c r="C3" s="213" t="s">
        <v>282</v>
      </c>
      <c r="D3" s="214" t="s">
        <v>40</v>
      </c>
      <c r="E3" s="213" t="s">
        <v>281</v>
      </c>
      <c r="F3" s="186"/>
      <c r="G3" s="332" t="s">
        <v>376</v>
      </c>
      <c r="H3" s="332"/>
      <c r="I3" s="332" t="s">
        <v>377</v>
      </c>
      <c r="J3" s="332"/>
      <c r="K3" s="332" t="s">
        <v>378</v>
      </c>
      <c r="L3" s="332"/>
      <c r="M3" s="332" t="s">
        <v>363</v>
      </c>
      <c r="N3" s="332"/>
      <c r="O3" s="332" t="s">
        <v>360</v>
      </c>
      <c r="P3" s="332"/>
      <c r="Q3" s="213" t="s">
        <v>386</v>
      </c>
      <c r="R3" s="213"/>
      <c r="S3" s="213" t="s">
        <v>387</v>
      </c>
      <c r="T3" s="247" t="s">
        <v>365</v>
      </c>
      <c r="U3" s="213" t="s">
        <v>366</v>
      </c>
      <c r="V3" s="213" t="s">
        <v>367</v>
      </c>
      <c r="W3" s="213" t="s">
        <v>368</v>
      </c>
      <c r="X3" s="213" t="s">
        <v>369</v>
      </c>
      <c r="Y3" s="213" t="s">
        <v>370</v>
      </c>
      <c r="Z3" s="213" t="s">
        <v>371</v>
      </c>
      <c r="AA3" s="213" t="s">
        <v>372</v>
      </c>
      <c r="AI3">
        <v>2</v>
      </c>
      <c r="AJ3">
        <v>100</v>
      </c>
    </row>
    <row r="4" spans="1:37">
      <c r="A4" s="208" t="s">
        <v>374</v>
      </c>
      <c r="B4" s="209">
        <v>4</v>
      </c>
      <c r="C4" s="209">
        <v>0</v>
      </c>
      <c r="D4" s="210">
        <v>33000</v>
      </c>
      <c r="E4" s="211" t="s">
        <v>112</v>
      </c>
      <c r="G4" s="177" t="str">
        <f t="shared" ref="G4:G40" si="0">IF(D4="","",IF(VLOOKUP(E4,STATE,2)&lt;=0,"",INT(D4/MAX(VLOOKUP(VLOOKUP(E4,STATE,2)+1,YIELD,2),1)/10)*10))</f>
        <v/>
      </c>
      <c r="H4" s="253" t="str">
        <f>IF(G4="","",INT(D4/1000*IF(Q4="",1,Q4)+0.9))</f>
        <v/>
      </c>
      <c r="I4" s="177">
        <f t="shared" ref="I4:I40" si="1">IF(D4="","",INT(D4/MAX(VLOOKUP(VLOOKUP(E4,STATE,2)+2,YIELD,2),1)/10)*10)</f>
        <v>330</v>
      </c>
      <c r="J4" s="253">
        <f>IF(I4="","",INT(D4/1000*0.3*IF(Q4="",1,Q4)+0.9))</f>
        <v>10</v>
      </c>
      <c r="K4" s="177">
        <f t="shared" ref="K4:K40" si="2">IF(D4="","",INT(D4/MAX(VLOOKUP(VLOOKUP(E4,STATE,2)+3,YIELD,2),1)/10)*10)</f>
        <v>130</v>
      </c>
      <c r="L4" s="254">
        <f>IF(K4="","",INT(D4/1000*0.1*IF(Q4="",1,Q4)+0.9))</f>
        <v>4</v>
      </c>
      <c r="M4" s="177">
        <f t="shared" ref="M4:M40" si="3">IF(D4="","",INT(D4/MAX(VLOOKUP(VLOOKUP(E4,STATE,2)+4,YIELD,2),1)/10)*10)</f>
        <v>60</v>
      </c>
      <c r="N4" s="253">
        <f>IF(M4="","",INT(D4/1000*0.05*IF(Q4="",1,Q4)+0.9))</f>
        <v>2</v>
      </c>
      <c r="O4" s="239">
        <f t="shared" ref="O4:O40" si="4">IF(D4="","",IF(INT(D4/MAX(VLOOKUP(VLOOKUP(E4,STATE,2)+5,YIELD,2),1)/10)=0,"",INT(D4/MAX(VLOOKUP(VLOOKUP(E4,STATE,2)+5,YIELD,2),1)/10)*10))</f>
        <v>30</v>
      </c>
      <c r="P4" s="252">
        <f>IF(O4="","",INT(D4/1000*0.02*IF(Q4="",1,Q4)+0.9))</f>
        <v>1</v>
      </c>
      <c r="Q4" s="243"/>
      <c r="R4"/>
      <c r="S4" s="242">
        <f t="shared" ref="S4:S40" si="5">IF(C4="","",C4*5)</f>
        <v>0</v>
      </c>
      <c r="T4" s="248">
        <v>330</v>
      </c>
      <c r="U4" s="240">
        <f t="shared" ref="U4:AA13" si="6">IF(T4="","",IF(INT(T4/100)=0,"",INT(T4/100)*10))</f>
        <v>30</v>
      </c>
      <c r="V4" s="240" t="str">
        <f t="shared" si="6"/>
        <v/>
      </c>
      <c r="W4" s="240" t="str">
        <f t="shared" si="6"/>
        <v/>
      </c>
      <c r="X4" s="240" t="str">
        <f t="shared" si="6"/>
        <v/>
      </c>
      <c r="Y4" s="240" t="str">
        <f t="shared" si="6"/>
        <v/>
      </c>
      <c r="Z4" s="240" t="str">
        <f t="shared" si="6"/>
        <v/>
      </c>
      <c r="AA4" s="240" t="str">
        <f t="shared" si="6"/>
        <v/>
      </c>
      <c r="AI4">
        <v>3</v>
      </c>
      <c r="AJ4">
        <v>250</v>
      </c>
    </row>
    <row r="5" spans="1:37">
      <c r="A5" s="204" t="s">
        <v>364</v>
      </c>
      <c r="B5" s="205">
        <v>4</v>
      </c>
      <c r="C5" s="205">
        <v>10</v>
      </c>
      <c r="D5" s="206">
        <v>17000</v>
      </c>
      <c r="E5" s="207" t="s">
        <v>112</v>
      </c>
      <c r="G5" s="177" t="str">
        <f t="shared" si="0"/>
        <v/>
      </c>
      <c r="H5" s="254" t="str">
        <f>IF(G5="","",INT(D5/1000*IF(Q5="",1,Q5)+0.9))</f>
        <v/>
      </c>
      <c r="I5" s="177">
        <f t="shared" si="1"/>
        <v>170</v>
      </c>
      <c r="J5" s="254">
        <f>IF(I5="","",INT(D5/1000*0.3*IF(Q5="",1,Q5)+0.9))</f>
        <v>6</v>
      </c>
      <c r="K5" s="177">
        <f t="shared" si="2"/>
        <v>60</v>
      </c>
      <c r="L5" s="254">
        <f>IF(K5="","",INT(D5/1000*0.1*IF(Q5="",1,Q5)+0.9))</f>
        <v>2</v>
      </c>
      <c r="M5" s="177">
        <f t="shared" si="3"/>
        <v>30</v>
      </c>
      <c r="N5" s="254">
        <f>IF(M5="","",INT(D5/1000*0.05*IF(Q5="",1,Q5)+0.9))</f>
        <v>1</v>
      </c>
      <c r="O5" s="239">
        <f t="shared" si="4"/>
        <v>10</v>
      </c>
      <c r="P5" s="252">
        <f>IF(O5="","",INT(D5/1000*0.02*IF(Q5="",1,Q5)+0.9))</f>
        <v>1</v>
      </c>
      <c r="Q5" s="244"/>
      <c r="R5" s="203"/>
      <c r="S5" s="242">
        <f t="shared" si="5"/>
        <v>50</v>
      </c>
      <c r="T5" s="249">
        <v>170</v>
      </c>
      <c r="U5" s="240">
        <f t="shared" si="6"/>
        <v>10</v>
      </c>
      <c r="V5" s="240" t="str">
        <f t="shared" si="6"/>
        <v/>
      </c>
      <c r="W5" s="240" t="str">
        <f t="shared" si="6"/>
        <v/>
      </c>
      <c r="X5" s="240" t="str">
        <f t="shared" si="6"/>
        <v/>
      </c>
      <c r="Y5" s="240" t="str">
        <f t="shared" si="6"/>
        <v/>
      </c>
      <c r="Z5" s="240" t="str">
        <f t="shared" si="6"/>
        <v/>
      </c>
      <c r="AA5" s="240" t="str">
        <f t="shared" si="6"/>
        <v/>
      </c>
      <c r="AI5">
        <v>4</v>
      </c>
      <c r="AJ5">
        <v>500</v>
      </c>
    </row>
    <row r="6" spans="1:37">
      <c r="A6" s="204" t="s">
        <v>373</v>
      </c>
      <c r="B6" s="205">
        <v>4</v>
      </c>
      <c r="C6" s="205">
        <v>1</v>
      </c>
      <c r="D6" s="206">
        <v>25000</v>
      </c>
      <c r="E6" s="207" t="s">
        <v>112</v>
      </c>
      <c r="G6" s="177" t="str">
        <f t="shared" si="0"/>
        <v/>
      </c>
      <c r="H6" s="254" t="str">
        <f t="shared" ref="H6:H40" si="7">IF(G6="","",INT(D6/1000*IF(Q6="",1,Q6)+0.9))</f>
        <v/>
      </c>
      <c r="I6" s="177">
        <f t="shared" si="1"/>
        <v>250</v>
      </c>
      <c r="J6" s="254">
        <f t="shared" ref="J6:J40" si="8">IF(I6="","",INT(D6/1000*0.3*IF(Q6="",1,Q6)+0.9))</f>
        <v>8</v>
      </c>
      <c r="K6" s="177">
        <f t="shared" si="2"/>
        <v>100</v>
      </c>
      <c r="L6" s="254">
        <f t="shared" ref="L6:L40" si="9">IF(K6="","",INT(D6/1000*0.1*IF(Q6="",1,Q6)+0.9))</f>
        <v>3</v>
      </c>
      <c r="M6" s="177">
        <f t="shared" si="3"/>
        <v>50</v>
      </c>
      <c r="N6" s="254">
        <f t="shared" ref="N6:N40" si="10">IF(M6="","",INT(D6/1000*0.05*IF(Q6="",1,Q6)+0.9))</f>
        <v>2</v>
      </c>
      <c r="O6" s="239">
        <f t="shared" si="4"/>
        <v>20</v>
      </c>
      <c r="P6" s="252">
        <f t="shared" ref="P6:P40" si="11">IF(O6="","",INT(D6/1000*0.02*IF(Q6="",1,Q6)+0.9))</f>
        <v>1</v>
      </c>
      <c r="Q6" s="244"/>
      <c r="R6"/>
      <c r="S6" s="242">
        <f t="shared" si="5"/>
        <v>5</v>
      </c>
      <c r="T6" s="249">
        <v>250</v>
      </c>
      <c r="U6" s="240">
        <f t="shared" si="6"/>
        <v>20</v>
      </c>
      <c r="V6" s="240" t="str">
        <f t="shared" si="6"/>
        <v/>
      </c>
      <c r="W6" s="240" t="str">
        <f t="shared" si="6"/>
        <v/>
      </c>
      <c r="X6" s="240" t="str">
        <f t="shared" si="6"/>
        <v/>
      </c>
      <c r="Y6" s="240" t="str">
        <f t="shared" si="6"/>
        <v/>
      </c>
      <c r="Z6" s="240" t="str">
        <f t="shared" si="6"/>
        <v/>
      </c>
      <c r="AA6" s="240" t="str">
        <f t="shared" si="6"/>
        <v/>
      </c>
      <c r="AI6">
        <v>5</v>
      </c>
      <c r="AJ6">
        <v>1000</v>
      </c>
    </row>
    <row r="7" spans="1:37">
      <c r="A7" s="204" t="s">
        <v>390</v>
      </c>
      <c r="B7" s="205">
        <v>0</v>
      </c>
      <c r="C7" s="205"/>
      <c r="D7" s="206">
        <v>23000</v>
      </c>
      <c r="E7" s="207" t="s">
        <v>112</v>
      </c>
      <c r="G7" s="177" t="str">
        <f t="shared" si="0"/>
        <v/>
      </c>
      <c r="H7" s="254" t="str">
        <f t="shared" si="7"/>
        <v/>
      </c>
      <c r="I7" s="177">
        <f t="shared" si="1"/>
        <v>230</v>
      </c>
      <c r="J7" s="254">
        <f t="shared" si="8"/>
        <v>7</v>
      </c>
      <c r="K7" s="177">
        <f t="shared" si="2"/>
        <v>90</v>
      </c>
      <c r="L7" s="254">
        <f t="shared" si="9"/>
        <v>3</v>
      </c>
      <c r="M7" s="177">
        <f t="shared" si="3"/>
        <v>40</v>
      </c>
      <c r="N7" s="254">
        <f t="shared" si="10"/>
        <v>2</v>
      </c>
      <c r="O7" s="239">
        <f t="shared" si="4"/>
        <v>20</v>
      </c>
      <c r="P7" s="252">
        <f t="shared" si="11"/>
        <v>1</v>
      </c>
      <c r="Q7" s="244"/>
      <c r="R7"/>
      <c r="S7" s="242" t="str">
        <f t="shared" si="5"/>
        <v/>
      </c>
      <c r="T7" s="249"/>
      <c r="U7" s="240" t="str">
        <f t="shared" si="6"/>
        <v/>
      </c>
      <c r="V7" s="240" t="str">
        <f t="shared" si="6"/>
        <v/>
      </c>
      <c r="W7" s="240" t="str">
        <f t="shared" si="6"/>
        <v/>
      </c>
      <c r="X7" s="240" t="str">
        <f t="shared" si="6"/>
        <v/>
      </c>
      <c r="Y7" s="240" t="str">
        <f t="shared" si="6"/>
        <v/>
      </c>
      <c r="Z7" s="240" t="str">
        <f t="shared" si="6"/>
        <v/>
      </c>
      <c r="AA7" s="240" t="str">
        <f t="shared" si="6"/>
        <v/>
      </c>
      <c r="AI7">
        <v>6</v>
      </c>
      <c r="AJ7">
        <v>2500</v>
      </c>
    </row>
    <row r="8" spans="1:37">
      <c r="A8" s="204" t="s">
        <v>389</v>
      </c>
      <c r="B8" s="205">
        <v>0</v>
      </c>
      <c r="C8" s="205"/>
      <c r="D8" s="206">
        <v>20000</v>
      </c>
      <c r="E8" s="207" t="s">
        <v>112</v>
      </c>
      <c r="G8" s="177" t="str">
        <f t="shared" si="0"/>
        <v/>
      </c>
      <c r="H8" s="254" t="str">
        <f t="shared" si="7"/>
        <v/>
      </c>
      <c r="I8" s="177">
        <f t="shared" si="1"/>
        <v>200</v>
      </c>
      <c r="J8" s="254">
        <f t="shared" si="8"/>
        <v>6</v>
      </c>
      <c r="K8" s="177">
        <f t="shared" si="2"/>
        <v>80</v>
      </c>
      <c r="L8" s="254">
        <f t="shared" si="9"/>
        <v>2</v>
      </c>
      <c r="M8" s="177">
        <f t="shared" si="3"/>
        <v>40</v>
      </c>
      <c r="N8" s="254">
        <f t="shared" si="10"/>
        <v>1</v>
      </c>
      <c r="O8" s="239">
        <f t="shared" si="4"/>
        <v>20</v>
      </c>
      <c r="P8" s="252">
        <f t="shared" si="11"/>
        <v>1</v>
      </c>
      <c r="Q8" s="244"/>
      <c r="R8"/>
      <c r="S8" s="242" t="str">
        <f t="shared" si="5"/>
        <v/>
      </c>
      <c r="T8" s="249"/>
      <c r="U8" s="240" t="str">
        <f t="shared" si="6"/>
        <v/>
      </c>
      <c r="V8" s="240" t="str">
        <f t="shared" si="6"/>
        <v/>
      </c>
      <c r="W8" s="240" t="str">
        <f t="shared" si="6"/>
        <v/>
      </c>
      <c r="X8" s="240" t="str">
        <f t="shared" si="6"/>
        <v/>
      </c>
      <c r="Y8" s="240" t="str">
        <f t="shared" si="6"/>
        <v/>
      </c>
      <c r="Z8" s="240" t="str">
        <f t="shared" si="6"/>
        <v/>
      </c>
      <c r="AA8" s="240" t="str">
        <f t="shared" si="6"/>
        <v/>
      </c>
      <c r="AI8">
        <v>7</v>
      </c>
      <c r="AJ8">
        <v>5000</v>
      </c>
    </row>
    <row r="9" spans="1:37">
      <c r="A9" s="204" t="s">
        <v>395</v>
      </c>
      <c r="B9" s="205">
        <v>1</v>
      </c>
      <c r="C9" s="205"/>
      <c r="D9" s="206">
        <v>38000</v>
      </c>
      <c r="E9" s="207" t="s">
        <v>291</v>
      </c>
      <c r="G9" s="177">
        <f t="shared" si="0"/>
        <v>380</v>
      </c>
      <c r="H9" s="254">
        <f t="shared" si="7"/>
        <v>38</v>
      </c>
      <c r="I9" s="177">
        <f t="shared" si="1"/>
        <v>150</v>
      </c>
      <c r="J9" s="254">
        <f t="shared" si="8"/>
        <v>12</v>
      </c>
      <c r="K9" s="177">
        <f t="shared" si="2"/>
        <v>70</v>
      </c>
      <c r="L9" s="254">
        <f t="shared" si="9"/>
        <v>4</v>
      </c>
      <c r="M9" s="177">
        <f t="shared" si="3"/>
        <v>30</v>
      </c>
      <c r="N9" s="254">
        <f t="shared" si="10"/>
        <v>2</v>
      </c>
      <c r="O9" s="239">
        <f t="shared" si="4"/>
        <v>10</v>
      </c>
      <c r="P9" s="252">
        <f t="shared" si="11"/>
        <v>1</v>
      </c>
      <c r="Q9" s="244"/>
      <c r="R9"/>
      <c r="S9" s="242" t="str">
        <f t="shared" si="5"/>
        <v/>
      </c>
      <c r="T9" s="249"/>
      <c r="U9" s="240" t="str">
        <f t="shared" si="6"/>
        <v/>
      </c>
      <c r="V9" s="240" t="str">
        <f t="shared" si="6"/>
        <v/>
      </c>
      <c r="W9" s="240" t="str">
        <f t="shared" si="6"/>
        <v/>
      </c>
      <c r="X9" s="240" t="str">
        <f t="shared" si="6"/>
        <v/>
      </c>
      <c r="Y9" s="240" t="str">
        <f t="shared" si="6"/>
        <v/>
      </c>
      <c r="Z9" s="240" t="str">
        <f t="shared" si="6"/>
        <v/>
      </c>
      <c r="AA9" s="240" t="str">
        <f t="shared" si="6"/>
        <v/>
      </c>
    </row>
    <row r="10" spans="1:37">
      <c r="A10" s="204" t="s">
        <v>391</v>
      </c>
      <c r="B10" s="205">
        <v>1</v>
      </c>
      <c r="C10" s="205"/>
      <c r="D10" s="206">
        <v>26000</v>
      </c>
      <c r="E10" s="207" t="s">
        <v>112</v>
      </c>
      <c r="G10" s="177" t="str">
        <f t="shared" si="0"/>
        <v/>
      </c>
      <c r="H10" s="254" t="str">
        <f t="shared" si="7"/>
        <v/>
      </c>
      <c r="I10" s="177">
        <f t="shared" si="1"/>
        <v>260</v>
      </c>
      <c r="J10" s="254">
        <f t="shared" si="8"/>
        <v>8</v>
      </c>
      <c r="K10" s="177">
        <f t="shared" si="2"/>
        <v>100</v>
      </c>
      <c r="L10" s="254">
        <f t="shared" si="9"/>
        <v>3</v>
      </c>
      <c r="M10" s="177">
        <f t="shared" si="3"/>
        <v>50</v>
      </c>
      <c r="N10" s="254">
        <f t="shared" si="10"/>
        <v>2</v>
      </c>
      <c r="O10" s="239">
        <f t="shared" si="4"/>
        <v>20</v>
      </c>
      <c r="P10" s="252">
        <f t="shared" si="11"/>
        <v>1</v>
      </c>
      <c r="Q10" s="244"/>
      <c r="R10"/>
      <c r="S10" s="242" t="str">
        <f t="shared" si="5"/>
        <v/>
      </c>
      <c r="T10" s="249"/>
      <c r="U10" s="240" t="str">
        <f t="shared" si="6"/>
        <v/>
      </c>
      <c r="V10" s="240" t="str">
        <f t="shared" si="6"/>
        <v/>
      </c>
      <c r="W10" s="240" t="str">
        <f t="shared" si="6"/>
        <v/>
      </c>
      <c r="X10" s="240" t="str">
        <f t="shared" si="6"/>
        <v/>
      </c>
      <c r="Y10" s="240" t="str">
        <f t="shared" si="6"/>
        <v/>
      </c>
      <c r="Z10" s="240" t="str">
        <f t="shared" si="6"/>
        <v/>
      </c>
      <c r="AA10" s="240" t="str">
        <f t="shared" si="6"/>
        <v/>
      </c>
      <c r="AI10" t="s">
        <v>361</v>
      </c>
      <c r="AJ10" t="s">
        <v>362</v>
      </c>
      <c r="AK10">
        <v>1</v>
      </c>
    </row>
    <row r="11" spans="1:37">
      <c r="A11" s="204" t="s">
        <v>393</v>
      </c>
      <c r="B11" s="205">
        <v>1</v>
      </c>
      <c r="C11" s="205"/>
      <c r="D11" s="206">
        <v>10000</v>
      </c>
      <c r="E11" s="207" t="s">
        <v>112</v>
      </c>
      <c r="G11" s="177" t="str">
        <f t="shared" si="0"/>
        <v/>
      </c>
      <c r="H11" s="254" t="str">
        <f t="shared" si="7"/>
        <v/>
      </c>
      <c r="I11" s="177">
        <f t="shared" si="1"/>
        <v>100</v>
      </c>
      <c r="J11" s="254">
        <f t="shared" si="8"/>
        <v>3</v>
      </c>
      <c r="K11" s="177">
        <f t="shared" si="2"/>
        <v>40</v>
      </c>
      <c r="L11" s="254">
        <f t="shared" si="9"/>
        <v>1</v>
      </c>
      <c r="M11" s="177">
        <f t="shared" si="3"/>
        <v>20</v>
      </c>
      <c r="N11" s="254">
        <f t="shared" si="10"/>
        <v>1</v>
      </c>
      <c r="O11" s="239">
        <f t="shared" si="4"/>
        <v>10</v>
      </c>
      <c r="P11" s="252">
        <f t="shared" si="11"/>
        <v>1</v>
      </c>
      <c r="Q11" s="244"/>
      <c r="R11"/>
      <c r="S11" s="242" t="str">
        <f t="shared" si="5"/>
        <v/>
      </c>
      <c r="T11" s="249"/>
      <c r="U11" s="240" t="str">
        <f t="shared" si="6"/>
        <v/>
      </c>
      <c r="V11" s="240" t="str">
        <f t="shared" si="6"/>
        <v/>
      </c>
      <c r="W11" s="240" t="str">
        <f t="shared" si="6"/>
        <v/>
      </c>
      <c r="X11" s="240" t="str">
        <f t="shared" si="6"/>
        <v/>
      </c>
      <c r="Y11" s="240" t="str">
        <f t="shared" si="6"/>
        <v/>
      </c>
      <c r="Z11" s="240" t="str">
        <f t="shared" si="6"/>
        <v/>
      </c>
      <c r="AA11" s="240" t="str">
        <f t="shared" si="6"/>
        <v/>
      </c>
      <c r="AI11" t="s">
        <v>362</v>
      </c>
      <c r="AJ11" t="s">
        <v>291</v>
      </c>
      <c r="AK11">
        <v>1</v>
      </c>
    </row>
    <row r="12" spans="1:37">
      <c r="A12" s="204" t="s">
        <v>392</v>
      </c>
      <c r="B12" s="205">
        <v>1</v>
      </c>
      <c r="C12" s="205"/>
      <c r="D12" s="206">
        <v>9000</v>
      </c>
      <c r="E12" s="207" t="s">
        <v>112</v>
      </c>
      <c r="G12" s="177" t="str">
        <f t="shared" si="0"/>
        <v/>
      </c>
      <c r="H12" s="254" t="str">
        <f t="shared" si="7"/>
        <v/>
      </c>
      <c r="I12" s="177">
        <f t="shared" si="1"/>
        <v>90</v>
      </c>
      <c r="J12" s="254">
        <f t="shared" si="8"/>
        <v>3</v>
      </c>
      <c r="K12" s="177">
        <f t="shared" si="2"/>
        <v>30</v>
      </c>
      <c r="L12" s="254">
        <f t="shared" si="9"/>
        <v>1</v>
      </c>
      <c r="M12" s="177">
        <f t="shared" si="3"/>
        <v>10</v>
      </c>
      <c r="N12" s="254">
        <f t="shared" si="10"/>
        <v>1</v>
      </c>
      <c r="O12" s="239" t="str">
        <f t="shared" si="4"/>
        <v/>
      </c>
      <c r="P12" s="252" t="str">
        <f t="shared" si="11"/>
        <v/>
      </c>
      <c r="Q12" s="244"/>
      <c r="R12"/>
      <c r="S12" s="242" t="str">
        <f t="shared" si="5"/>
        <v/>
      </c>
      <c r="T12" s="249"/>
      <c r="U12" s="240" t="str">
        <f t="shared" si="6"/>
        <v/>
      </c>
      <c r="V12" s="240" t="str">
        <f t="shared" si="6"/>
        <v/>
      </c>
      <c r="W12" s="240" t="str">
        <f t="shared" si="6"/>
        <v/>
      </c>
      <c r="X12" s="240" t="str">
        <f t="shared" si="6"/>
        <v/>
      </c>
      <c r="Y12" s="240" t="str">
        <f t="shared" si="6"/>
        <v/>
      </c>
      <c r="Z12" s="240" t="str">
        <f t="shared" si="6"/>
        <v/>
      </c>
      <c r="AA12" s="240" t="str">
        <f t="shared" si="6"/>
        <v/>
      </c>
      <c r="AI12" t="s">
        <v>112</v>
      </c>
      <c r="AJ12" t="s">
        <v>112</v>
      </c>
      <c r="AK12">
        <v>0</v>
      </c>
    </row>
    <row r="13" spans="1:37">
      <c r="A13" s="204" t="s">
        <v>394</v>
      </c>
      <c r="B13" s="205">
        <v>1</v>
      </c>
      <c r="C13" s="205"/>
      <c r="D13" s="206">
        <v>6000</v>
      </c>
      <c r="E13" s="207" t="s">
        <v>112</v>
      </c>
      <c r="G13" s="177" t="str">
        <f t="shared" si="0"/>
        <v/>
      </c>
      <c r="H13" s="254" t="str">
        <f t="shared" si="7"/>
        <v/>
      </c>
      <c r="I13" s="177">
        <f t="shared" si="1"/>
        <v>60</v>
      </c>
      <c r="J13" s="254">
        <f t="shared" si="8"/>
        <v>2</v>
      </c>
      <c r="K13" s="177">
        <f t="shared" si="2"/>
        <v>20</v>
      </c>
      <c r="L13" s="254">
        <f t="shared" si="9"/>
        <v>1</v>
      </c>
      <c r="M13" s="177">
        <f t="shared" si="3"/>
        <v>10</v>
      </c>
      <c r="N13" s="254">
        <f t="shared" si="10"/>
        <v>1</v>
      </c>
      <c r="O13" s="239" t="str">
        <f t="shared" si="4"/>
        <v/>
      </c>
      <c r="P13" s="252" t="str">
        <f t="shared" si="11"/>
        <v/>
      </c>
      <c r="Q13" s="244"/>
      <c r="R13"/>
      <c r="S13" s="242" t="str">
        <f t="shared" si="5"/>
        <v/>
      </c>
      <c r="T13" s="249"/>
      <c r="U13" s="240" t="str">
        <f t="shared" si="6"/>
        <v/>
      </c>
      <c r="V13" s="240" t="str">
        <f t="shared" si="6"/>
        <v/>
      </c>
      <c r="W13" s="240" t="str">
        <f t="shared" si="6"/>
        <v/>
      </c>
      <c r="X13" s="240" t="str">
        <f t="shared" si="6"/>
        <v/>
      </c>
      <c r="Y13" s="240" t="str">
        <f t="shared" si="6"/>
        <v/>
      </c>
      <c r="Z13" s="240" t="str">
        <f t="shared" si="6"/>
        <v/>
      </c>
      <c r="AA13" s="240" t="str">
        <f t="shared" si="6"/>
        <v/>
      </c>
      <c r="AI13" t="s">
        <v>280</v>
      </c>
      <c r="AJ13" t="s">
        <v>280</v>
      </c>
      <c r="AK13">
        <v>-1</v>
      </c>
    </row>
    <row r="14" spans="1:37">
      <c r="A14" s="204" t="s">
        <v>397</v>
      </c>
      <c r="B14" s="205">
        <v>2</v>
      </c>
      <c r="C14" s="205"/>
      <c r="D14" s="206">
        <v>26000</v>
      </c>
      <c r="E14" s="207" t="s">
        <v>280</v>
      </c>
      <c r="G14" s="177" t="str">
        <f t="shared" si="0"/>
        <v/>
      </c>
      <c r="H14" s="254" t="str">
        <f t="shared" si="7"/>
        <v/>
      </c>
      <c r="I14" s="177">
        <f t="shared" si="1"/>
        <v>520</v>
      </c>
      <c r="J14" s="254">
        <f t="shared" si="8"/>
        <v>39</v>
      </c>
      <c r="K14" s="177">
        <f t="shared" si="2"/>
        <v>260</v>
      </c>
      <c r="L14" s="254">
        <f t="shared" si="9"/>
        <v>13</v>
      </c>
      <c r="M14" s="177">
        <f t="shared" si="3"/>
        <v>100</v>
      </c>
      <c r="N14" s="254">
        <f t="shared" si="10"/>
        <v>7</v>
      </c>
      <c r="O14" s="239">
        <f t="shared" si="4"/>
        <v>50</v>
      </c>
      <c r="P14" s="252">
        <f t="shared" si="11"/>
        <v>3</v>
      </c>
      <c r="Q14" s="245">
        <v>5</v>
      </c>
      <c r="R14"/>
      <c r="S14" s="242" t="str">
        <f t="shared" si="5"/>
        <v/>
      </c>
      <c r="T14" s="249"/>
      <c r="U14" s="240" t="str">
        <f t="shared" ref="U14:AA23" si="12">IF(T14="","",IF(INT(T14/100)=0,"",INT(T14/100)*10))</f>
        <v/>
      </c>
      <c r="V14" s="240" t="str">
        <f t="shared" si="12"/>
        <v/>
      </c>
      <c r="W14" s="240" t="str">
        <f t="shared" si="12"/>
        <v/>
      </c>
      <c r="X14" s="240" t="str">
        <f t="shared" si="12"/>
        <v/>
      </c>
      <c r="Y14" s="240" t="str">
        <f t="shared" si="12"/>
        <v/>
      </c>
      <c r="Z14" s="240" t="str">
        <f t="shared" si="12"/>
        <v/>
      </c>
      <c r="AA14" s="240" t="str">
        <f t="shared" si="12"/>
        <v/>
      </c>
      <c r="AI14" t="s">
        <v>291</v>
      </c>
      <c r="AJ14" t="s">
        <v>361</v>
      </c>
      <c r="AK14">
        <v>2</v>
      </c>
    </row>
    <row r="15" spans="1:37">
      <c r="A15" s="204" t="s">
        <v>396</v>
      </c>
      <c r="B15" s="205">
        <v>2</v>
      </c>
      <c r="C15" s="205"/>
      <c r="D15" s="206">
        <v>109000</v>
      </c>
      <c r="E15" s="207" t="s">
        <v>362</v>
      </c>
      <c r="G15" s="177">
        <f t="shared" si="0"/>
        <v>1090</v>
      </c>
      <c r="H15" s="254">
        <f t="shared" si="7"/>
        <v>109</v>
      </c>
      <c r="I15" s="177">
        <f t="shared" si="1"/>
        <v>430</v>
      </c>
      <c r="J15" s="254">
        <f t="shared" si="8"/>
        <v>33</v>
      </c>
      <c r="K15" s="177">
        <f t="shared" si="2"/>
        <v>210</v>
      </c>
      <c r="L15" s="254">
        <f t="shared" si="9"/>
        <v>11</v>
      </c>
      <c r="M15" s="177">
        <f t="shared" si="3"/>
        <v>100</v>
      </c>
      <c r="N15" s="254">
        <f t="shared" si="10"/>
        <v>6</v>
      </c>
      <c r="O15" s="239">
        <f t="shared" si="4"/>
        <v>40</v>
      </c>
      <c r="P15" s="252">
        <f t="shared" si="11"/>
        <v>3</v>
      </c>
      <c r="Q15" s="244"/>
      <c r="R15"/>
      <c r="S15" s="242" t="str">
        <f t="shared" si="5"/>
        <v/>
      </c>
      <c r="T15" s="249"/>
      <c r="U15" s="240" t="str">
        <f t="shared" si="12"/>
        <v/>
      </c>
      <c r="V15" s="240" t="str">
        <f t="shared" si="12"/>
        <v/>
      </c>
      <c r="W15" s="240" t="str">
        <f t="shared" si="12"/>
        <v/>
      </c>
      <c r="X15" s="240" t="str">
        <f t="shared" si="12"/>
        <v/>
      </c>
      <c r="Y15" s="240" t="str">
        <f t="shared" si="12"/>
        <v/>
      </c>
      <c r="Z15" s="240" t="str">
        <f t="shared" si="12"/>
        <v/>
      </c>
      <c r="AA15" s="240" t="str">
        <f t="shared" si="12"/>
        <v/>
      </c>
    </row>
    <row r="16" spans="1:37">
      <c r="A16" s="204" t="s">
        <v>380</v>
      </c>
      <c r="B16" s="205">
        <v>4</v>
      </c>
      <c r="C16" s="205">
        <v>1</v>
      </c>
      <c r="D16" s="206">
        <v>25000</v>
      </c>
      <c r="E16" s="207" t="s">
        <v>112</v>
      </c>
      <c r="G16" s="177" t="str">
        <f t="shared" si="0"/>
        <v/>
      </c>
      <c r="H16" s="254" t="str">
        <f t="shared" si="7"/>
        <v/>
      </c>
      <c r="I16" s="177">
        <f t="shared" si="1"/>
        <v>250</v>
      </c>
      <c r="J16" s="254">
        <f t="shared" si="8"/>
        <v>8</v>
      </c>
      <c r="K16" s="177">
        <f t="shared" si="2"/>
        <v>100</v>
      </c>
      <c r="L16" s="254">
        <f t="shared" si="9"/>
        <v>3</v>
      </c>
      <c r="M16" s="177">
        <f t="shared" si="3"/>
        <v>50</v>
      </c>
      <c r="N16" s="254">
        <f t="shared" si="10"/>
        <v>2</v>
      </c>
      <c r="O16" s="239">
        <f t="shared" si="4"/>
        <v>20</v>
      </c>
      <c r="P16" s="252">
        <f t="shared" si="11"/>
        <v>1</v>
      </c>
      <c r="Q16" s="244"/>
      <c r="R16"/>
      <c r="S16" s="242">
        <f t="shared" si="5"/>
        <v>5</v>
      </c>
      <c r="T16" s="249">
        <v>250</v>
      </c>
      <c r="U16" s="240">
        <f t="shared" si="12"/>
        <v>20</v>
      </c>
      <c r="V16" s="240" t="str">
        <f t="shared" si="12"/>
        <v/>
      </c>
      <c r="W16" s="240" t="str">
        <f t="shared" si="12"/>
        <v/>
      </c>
      <c r="X16" s="240" t="str">
        <f t="shared" si="12"/>
        <v/>
      </c>
      <c r="Y16" s="240" t="str">
        <f t="shared" si="12"/>
        <v/>
      </c>
      <c r="Z16" s="240" t="str">
        <f t="shared" si="12"/>
        <v/>
      </c>
      <c r="AA16" s="240" t="str">
        <f t="shared" si="12"/>
        <v/>
      </c>
    </row>
    <row r="17" spans="1:27">
      <c r="A17" s="204" t="s">
        <v>381</v>
      </c>
      <c r="B17" s="205">
        <v>4</v>
      </c>
      <c r="C17" s="205"/>
      <c r="D17" s="206">
        <v>30000</v>
      </c>
      <c r="E17" s="207" t="s">
        <v>362</v>
      </c>
      <c r="G17" s="177">
        <f t="shared" si="0"/>
        <v>300</v>
      </c>
      <c r="H17" s="254">
        <f t="shared" si="7"/>
        <v>30</v>
      </c>
      <c r="I17" s="177">
        <f t="shared" si="1"/>
        <v>120</v>
      </c>
      <c r="J17" s="254">
        <f t="shared" si="8"/>
        <v>9</v>
      </c>
      <c r="K17" s="177">
        <f t="shared" si="2"/>
        <v>60</v>
      </c>
      <c r="L17" s="254">
        <f t="shared" si="9"/>
        <v>3</v>
      </c>
      <c r="M17" s="177">
        <f t="shared" si="3"/>
        <v>30</v>
      </c>
      <c r="N17" s="254">
        <f t="shared" si="10"/>
        <v>2</v>
      </c>
      <c r="O17" s="239">
        <f t="shared" si="4"/>
        <v>10</v>
      </c>
      <c r="P17" s="252">
        <f t="shared" si="11"/>
        <v>1</v>
      </c>
      <c r="Q17" s="244"/>
      <c r="R17"/>
      <c r="S17" s="242" t="str">
        <f t="shared" si="5"/>
        <v/>
      </c>
      <c r="T17" s="249">
        <v>120</v>
      </c>
      <c r="U17" s="240">
        <f t="shared" si="12"/>
        <v>10</v>
      </c>
      <c r="V17" s="240" t="str">
        <f t="shared" si="12"/>
        <v/>
      </c>
      <c r="W17" s="240" t="str">
        <f t="shared" si="12"/>
        <v/>
      </c>
      <c r="X17" s="240" t="str">
        <f t="shared" si="12"/>
        <v/>
      </c>
      <c r="Y17" s="240" t="str">
        <f t="shared" si="12"/>
        <v/>
      </c>
      <c r="Z17" s="240" t="str">
        <f t="shared" si="12"/>
        <v/>
      </c>
      <c r="AA17" s="240" t="str">
        <f t="shared" si="12"/>
        <v/>
      </c>
    </row>
    <row r="18" spans="1:27">
      <c r="A18" s="204" t="s">
        <v>382</v>
      </c>
      <c r="B18" s="205">
        <v>4</v>
      </c>
      <c r="C18" s="205"/>
      <c r="D18" s="206">
        <v>41000</v>
      </c>
      <c r="E18" s="207" t="s">
        <v>362</v>
      </c>
      <c r="G18" s="177">
        <f t="shared" si="0"/>
        <v>410</v>
      </c>
      <c r="H18" s="254">
        <f t="shared" si="7"/>
        <v>41</v>
      </c>
      <c r="I18" s="177">
        <f t="shared" si="1"/>
        <v>160</v>
      </c>
      <c r="J18" s="254">
        <f t="shared" si="8"/>
        <v>13</v>
      </c>
      <c r="K18" s="177">
        <f t="shared" si="2"/>
        <v>80</v>
      </c>
      <c r="L18" s="254">
        <f t="shared" si="9"/>
        <v>5</v>
      </c>
      <c r="M18" s="177">
        <f t="shared" si="3"/>
        <v>40</v>
      </c>
      <c r="N18" s="254">
        <f t="shared" si="10"/>
        <v>2</v>
      </c>
      <c r="O18" s="239">
        <f t="shared" si="4"/>
        <v>10</v>
      </c>
      <c r="P18" s="252">
        <f t="shared" si="11"/>
        <v>1</v>
      </c>
      <c r="Q18" s="244"/>
      <c r="R18"/>
      <c r="S18" s="242" t="str">
        <f t="shared" si="5"/>
        <v/>
      </c>
      <c r="T18" s="249">
        <v>410</v>
      </c>
      <c r="U18" s="240">
        <f t="shared" si="12"/>
        <v>40</v>
      </c>
      <c r="V18" s="240" t="str">
        <f t="shared" si="12"/>
        <v/>
      </c>
      <c r="W18" s="240" t="str">
        <f t="shared" si="12"/>
        <v/>
      </c>
      <c r="X18" s="240" t="str">
        <f t="shared" si="12"/>
        <v/>
      </c>
      <c r="Y18" s="240" t="str">
        <f t="shared" si="12"/>
        <v/>
      </c>
      <c r="Z18" s="240" t="str">
        <f t="shared" si="12"/>
        <v/>
      </c>
      <c r="AA18" s="240" t="str">
        <f t="shared" si="12"/>
        <v/>
      </c>
    </row>
    <row r="19" spans="1:27">
      <c r="A19" s="204" t="s">
        <v>388</v>
      </c>
      <c r="B19" s="205">
        <v>0</v>
      </c>
      <c r="C19" s="205"/>
      <c r="D19" s="206">
        <v>9000</v>
      </c>
      <c r="E19" s="207" t="s">
        <v>112</v>
      </c>
      <c r="G19" s="177" t="str">
        <f t="shared" si="0"/>
        <v/>
      </c>
      <c r="H19" s="254" t="str">
        <f t="shared" si="7"/>
        <v/>
      </c>
      <c r="I19" s="177">
        <f t="shared" si="1"/>
        <v>90</v>
      </c>
      <c r="J19" s="254">
        <f t="shared" si="8"/>
        <v>3</v>
      </c>
      <c r="K19" s="177">
        <f t="shared" si="2"/>
        <v>30</v>
      </c>
      <c r="L19" s="254">
        <f t="shared" si="9"/>
        <v>1</v>
      </c>
      <c r="M19" s="177">
        <f t="shared" si="3"/>
        <v>10</v>
      </c>
      <c r="N19" s="254">
        <f t="shared" si="10"/>
        <v>1</v>
      </c>
      <c r="O19" s="239" t="str">
        <f t="shared" si="4"/>
        <v/>
      </c>
      <c r="P19" s="252" t="str">
        <f t="shared" si="11"/>
        <v/>
      </c>
      <c r="Q19" s="244"/>
      <c r="R19"/>
      <c r="S19" s="242" t="str">
        <f t="shared" si="5"/>
        <v/>
      </c>
      <c r="T19" s="249"/>
      <c r="U19" s="240" t="str">
        <f t="shared" si="12"/>
        <v/>
      </c>
      <c r="V19" s="240" t="str">
        <f t="shared" si="12"/>
        <v/>
      </c>
      <c r="W19" s="240" t="str">
        <f t="shared" si="12"/>
        <v/>
      </c>
      <c r="X19" s="240" t="str">
        <f t="shared" si="12"/>
        <v/>
      </c>
      <c r="Y19" s="240" t="str">
        <f t="shared" si="12"/>
        <v/>
      </c>
      <c r="Z19" s="240" t="str">
        <f t="shared" si="12"/>
        <v/>
      </c>
      <c r="AA19" s="240" t="str">
        <f t="shared" si="12"/>
        <v/>
      </c>
    </row>
    <row r="20" spans="1:27">
      <c r="A20" s="204" t="s">
        <v>375</v>
      </c>
      <c r="B20" s="205">
        <v>4</v>
      </c>
      <c r="C20" s="205">
        <v>0</v>
      </c>
      <c r="D20" s="206">
        <v>13000</v>
      </c>
      <c r="E20" s="207" t="s">
        <v>362</v>
      </c>
      <c r="G20" s="177">
        <f t="shared" si="0"/>
        <v>130</v>
      </c>
      <c r="H20" s="254">
        <f t="shared" si="7"/>
        <v>13</v>
      </c>
      <c r="I20" s="177">
        <f t="shared" si="1"/>
        <v>50</v>
      </c>
      <c r="J20" s="254">
        <f t="shared" si="8"/>
        <v>4</v>
      </c>
      <c r="K20" s="177">
        <f t="shared" si="2"/>
        <v>20</v>
      </c>
      <c r="L20" s="254">
        <f t="shared" si="9"/>
        <v>2</v>
      </c>
      <c r="M20" s="177">
        <f t="shared" si="3"/>
        <v>10</v>
      </c>
      <c r="N20" s="254">
        <f t="shared" si="10"/>
        <v>1</v>
      </c>
      <c r="O20" s="239" t="str">
        <f t="shared" si="4"/>
        <v/>
      </c>
      <c r="P20" s="252" t="str">
        <f t="shared" si="11"/>
        <v/>
      </c>
      <c r="Q20" s="244"/>
      <c r="R20"/>
      <c r="S20" s="242">
        <f t="shared" si="5"/>
        <v>0</v>
      </c>
      <c r="T20" s="249">
        <v>130</v>
      </c>
      <c r="U20" s="240">
        <f t="shared" si="12"/>
        <v>10</v>
      </c>
      <c r="V20" s="240" t="str">
        <f t="shared" si="12"/>
        <v/>
      </c>
      <c r="W20" s="240" t="str">
        <f t="shared" si="12"/>
        <v/>
      </c>
      <c r="X20" s="240" t="str">
        <f t="shared" si="12"/>
        <v/>
      </c>
      <c r="Y20" s="240" t="str">
        <f t="shared" si="12"/>
        <v/>
      </c>
      <c r="Z20" s="240" t="str">
        <f t="shared" si="12"/>
        <v/>
      </c>
      <c r="AA20" s="240" t="str">
        <f t="shared" si="12"/>
        <v/>
      </c>
    </row>
    <row r="21" spans="1:27">
      <c r="A21" s="204"/>
      <c r="B21" s="205"/>
      <c r="C21" s="205"/>
      <c r="D21" s="206"/>
      <c r="E21" s="207"/>
      <c r="G21" s="177" t="str">
        <f t="shared" si="0"/>
        <v/>
      </c>
      <c r="H21" s="254" t="str">
        <f t="shared" si="7"/>
        <v/>
      </c>
      <c r="I21" s="177" t="str">
        <f t="shared" si="1"/>
        <v/>
      </c>
      <c r="J21" s="254" t="str">
        <f t="shared" si="8"/>
        <v/>
      </c>
      <c r="K21" s="177" t="str">
        <f t="shared" si="2"/>
        <v/>
      </c>
      <c r="L21" s="254" t="str">
        <f t="shared" si="9"/>
        <v/>
      </c>
      <c r="M21" s="177" t="str">
        <f t="shared" si="3"/>
        <v/>
      </c>
      <c r="N21" s="254" t="str">
        <f t="shared" si="10"/>
        <v/>
      </c>
      <c r="O21" s="239" t="str">
        <f t="shared" si="4"/>
        <v/>
      </c>
      <c r="P21" s="252" t="str">
        <f t="shared" si="11"/>
        <v/>
      </c>
      <c r="Q21" s="244"/>
      <c r="R21"/>
      <c r="S21" s="242" t="str">
        <f t="shared" si="5"/>
        <v/>
      </c>
      <c r="T21" s="249"/>
      <c r="U21" s="240" t="str">
        <f t="shared" si="12"/>
        <v/>
      </c>
      <c r="V21" s="240" t="str">
        <f t="shared" si="12"/>
        <v/>
      </c>
      <c r="W21" s="240" t="str">
        <f t="shared" si="12"/>
        <v/>
      </c>
      <c r="X21" s="240" t="str">
        <f t="shared" si="12"/>
        <v/>
      </c>
      <c r="Y21" s="240" t="str">
        <f t="shared" si="12"/>
        <v/>
      </c>
      <c r="Z21" s="240" t="str">
        <f t="shared" si="12"/>
        <v/>
      </c>
      <c r="AA21" s="240" t="str">
        <f t="shared" si="12"/>
        <v/>
      </c>
    </row>
    <row r="22" spans="1:27">
      <c r="A22" s="204"/>
      <c r="B22" s="205"/>
      <c r="C22" s="205"/>
      <c r="D22" s="206"/>
      <c r="E22" s="207"/>
      <c r="G22" s="177" t="str">
        <f t="shared" si="0"/>
        <v/>
      </c>
      <c r="H22" s="254" t="str">
        <f t="shared" si="7"/>
        <v/>
      </c>
      <c r="I22" s="177" t="str">
        <f t="shared" si="1"/>
        <v/>
      </c>
      <c r="J22" s="254" t="str">
        <f t="shared" si="8"/>
        <v/>
      </c>
      <c r="K22" s="177" t="str">
        <f t="shared" si="2"/>
        <v/>
      </c>
      <c r="L22" s="254" t="str">
        <f t="shared" si="9"/>
        <v/>
      </c>
      <c r="M22" s="177" t="str">
        <f t="shared" si="3"/>
        <v/>
      </c>
      <c r="N22" s="254" t="str">
        <f t="shared" si="10"/>
        <v/>
      </c>
      <c r="O22" s="239" t="str">
        <f t="shared" si="4"/>
        <v/>
      </c>
      <c r="P22" s="252" t="str">
        <f t="shared" si="11"/>
        <v/>
      </c>
      <c r="Q22" s="244"/>
      <c r="R22"/>
      <c r="S22" s="242" t="str">
        <f t="shared" si="5"/>
        <v/>
      </c>
      <c r="T22" s="249"/>
      <c r="U22" s="240" t="str">
        <f t="shared" si="12"/>
        <v/>
      </c>
      <c r="V22" s="240" t="str">
        <f t="shared" si="12"/>
        <v/>
      </c>
      <c r="W22" s="240" t="str">
        <f t="shared" si="12"/>
        <v/>
      </c>
      <c r="X22" s="240" t="str">
        <f t="shared" si="12"/>
        <v/>
      </c>
      <c r="Y22" s="240" t="str">
        <f t="shared" si="12"/>
        <v/>
      </c>
      <c r="Z22" s="240" t="str">
        <f t="shared" si="12"/>
        <v/>
      </c>
      <c r="AA22" s="240" t="str">
        <f t="shared" si="12"/>
        <v/>
      </c>
    </row>
    <row r="23" spans="1:27">
      <c r="A23" s="204"/>
      <c r="B23" s="205"/>
      <c r="C23" s="205"/>
      <c r="D23" s="206"/>
      <c r="E23" s="207"/>
      <c r="G23" s="177" t="str">
        <f t="shared" si="0"/>
        <v/>
      </c>
      <c r="H23" s="254" t="str">
        <f t="shared" si="7"/>
        <v/>
      </c>
      <c r="I23" s="177" t="str">
        <f t="shared" si="1"/>
        <v/>
      </c>
      <c r="J23" s="254" t="str">
        <f t="shared" si="8"/>
        <v/>
      </c>
      <c r="K23" s="177" t="str">
        <f t="shared" si="2"/>
        <v/>
      </c>
      <c r="L23" s="254" t="str">
        <f t="shared" si="9"/>
        <v/>
      </c>
      <c r="M23" s="177" t="str">
        <f t="shared" si="3"/>
        <v/>
      </c>
      <c r="N23" s="254" t="str">
        <f t="shared" si="10"/>
        <v/>
      </c>
      <c r="O23" s="239" t="str">
        <f t="shared" si="4"/>
        <v/>
      </c>
      <c r="P23" s="252" t="str">
        <f t="shared" si="11"/>
        <v/>
      </c>
      <c r="Q23" s="244"/>
      <c r="R23"/>
      <c r="S23" s="242" t="str">
        <f t="shared" si="5"/>
        <v/>
      </c>
      <c r="T23" s="249"/>
      <c r="U23" s="240" t="str">
        <f t="shared" si="12"/>
        <v/>
      </c>
      <c r="V23" s="240" t="str">
        <f t="shared" si="12"/>
        <v/>
      </c>
      <c r="W23" s="240" t="str">
        <f t="shared" si="12"/>
        <v/>
      </c>
      <c r="X23" s="240" t="str">
        <f t="shared" si="12"/>
        <v/>
      </c>
      <c r="Y23" s="240" t="str">
        <f t="shared" si="12"/>
        <v/>
      </c>
      <c r="Z23" s="240" t="str">
        <f t="shared" si="12"/>
        <v/>
      </c>
      <c r="AA23" s="240" t="str">
        <f t="shared" si="12"/>
        <v/>
      </c>
    </row>
    <row r="24" spans="1:27">
      <c r="A24" s="204"/>
      <c r="B24" s="205"/>
      <c r="C24" s="205"/>
      <c r="D24" s="206"/>
      <c r="E24" s="207"/>
      <c r="G24" s="177" t="str">
        <f t="shared" si="0"/>
        <v/>
      </c>
      <c r="H24" s="254" t="str">
        <f t="shared" si="7"/>
        <v/>
      </c>
      <c r="I24" s="177" t="str">
        <f t="shared" si="1"/>
        <v/>
      </c>
      <c r="J24" s="254" t="str">
        <f t="shared" si="8"/>
        <v/>
      </c>
      <c r="K24" s="177" t="str">
        <f t="shared" si="2"/>
        <v/>
      </c>
      <c r="L24" s="254" t="str">
        <f t="shared" si="9"/>
        <v/>
      </c>
      <c r="M24" s="177" t="str">
        <f t="shared" si="3"/>
        <v/>
      </c>
      <c r="N24" s="254" t="str">
        <f t="shared" si="10"/>
        <v/>
      </c>
      <c r="O24" s="239" t="str">
        <f t="shared" si="4"/>
        <v/>
      </c>
      <c r="P24" s="252" t="str">
        <f t="shared" si="11"/>
        <v/>
      </c>
      <c r="Q24" s="244"/>
      <c r="R24"/>
      <c r="S24" s="242" t="str">
        <f t="shared" si="5"/>
        <v/>
      </c>
      <c r="T24" s="249"/>
      <c r="U24" s="240" t="str">
        <f t="shared" ref="U24:AA33" si="13">IF(T24="","",IF(INT(T24/100)=0,"",INT(T24/100)*10))</f>
        <v/>
      </c>
      <c r="V24" s="240" t="str">
        <f t="shared" si="13"/>
        <v/>
      </c>
      <c r="W24" s="240" t="str">
        <f t="shared" si="13"/>
        <v/>
      </c>
      <c r="X24" s="240" t="str">
        <f t="shared" si="13"/>
        <v/>
      </c>
      <c r="Y24" s="240" t="str">
        <f t="shared" si="13"/>
        <v/>
      </c>
      <c r="Z24" s="240" t="str">
        <f t="shared" si="13"/>
        <v/>
      </c>
      <c r="AA24" s="240" t="str">
        <f t="shared" si="13"/>
        <v/>
      </c>
    </row>
    <row r="25" spans="1:27">
      <c r="A25" s="204"/>
      <c r="B25" s="205"/>
      <c r="C25" s="205"/>
      <c r="D25" s="206"/>
      <c r="E25" s="207"/>
      <c r="G25" s="177" t="str">
        <f t="shared" si="0"/>
        <v/>
      </c>
      <c r="H25" s="254" t="str">
        <f t="shared" si="7"/>
        <v/>
      </c>
      <c r="I25" s="177" t="str">
        <f t="shared" si="1"/>
        <v/>
      </c>
      <c r="J25" s="254" t="str">
        <f t="shared" si="8"/>
        <v/>
      </c>
      <c r="K25" s="177" t="str">
        <f t="shared" si="2"/>
        <v/>
      </c>
      <c r="L25" s="254" t="str">
        <f t="shared" si="9"/>
        <v/>
      </c>
      <c r="M25" s="177" t="str">
        <f t="shared" si="3"/>
        <v/>
      </c>
      <c r="N25" s="254" t="str">
        <f t="shared" si="10"/>
        <v/>
      </c>
      <c r="O25" s="239" t="str">
        <f t="shared" si="4"/>
        <v/>
      </c>
      <c r="P25" s="252" t="str">
        <f t="shared" si="11"/>
        <v/>
      </c>
      <c r="Q25" s="244"/>
      <c r="R25"/>
      <c r="S25" s="242" t="str">
        <f t="shared" si="5"/>
        <v/>
      </c>
      <c r="T25" s="249"/>
      <c r="U25" s="240" t="str">
        <f t="shared" si="13"/>
        <v/>
      </c>
      <c r="V25" s="240" t="str">
        <f t="shared" si="13"/>
        <v/>
      </c>
      <c r="W25" s="240" t="str">
        <f t="shared" si="13"/>
        <v/>
      </c>
      <c r="X25" s="240" t="str">
        <f t="shared" si="13"/>
        <v/>
      </c>
      <c r="Y25" s="240" t="str">
        <f t="shared" si="13"/>
        <v/>
      </c>
      <c r="Z25" s="240" t="str">
        <f t="shared" si="13"/>
        <v/>
      </c>
      <c r="AA25" s="240" t="str">
        <f t="shared" si="13"/>
        <v/>
      </c>
    </row>
    <row r="26" spans="1:27">
      <c r="A26" s="204"/>
      <c r="B26" s="205"/>
      <c r="C26" s="205"/>
      <c r="D26" s="206"/>
      <c r="E26" s="207"/>
      <c r="G26" s="177" t="str">
        <f t="shared" si="0"/>
        <v/>
      </c>
      <c r="H26" s="254" t="str">
        <f t="shared" si="7"/>
        <v/>
      </c>
      <c r="I26" s="177" t="str">
        <f t="shared" si="1"/>
        <v/>
      </c>
      <c r="J26" s="254" t="str">
        <f t="shared" si="8"/>
        <v/>
      </c>
      <c r="K26" s="177" t="str">
        <f t="shared" si="2"/>
        <v/>
      </c>
      <c r="L26" s="254" t="str">
        <f t="shared" si="9"/>
        <v/>
      </c>
      <c r="M26" s="177" t="str">
        <f t="shared" si="3"/>
        <v/>
      </c>
      <c r="N26" s="254" t="str">
        <f t="shared" si="10"/>
        <v/>
      </c>
      <c r="O26" s="239" t="str">
        <f t="shared" si="4"/>
        <v/>
      </c>
      <c r="P26" s="252" t="str">
        <f t="shared" si="11"/>
        <v/>
      </c>
      <c r="Q26" s="244"/>
      <c r="R26"/>
      <c r="S26" s="242" t="str">
        <f t="shared" si="5"/>
        <v/>
      </c>
      <c r="T26" s="249"/>
      <c r="U26" s="240" t="str">
        <f t="shared" si="13"/>
        <v/>
      </c>
      <c r="V26" s="240" t="str">
        <f t="shared" si="13"/>
        <v/>
      </c>
      <c r="W26" s="240" t="str">
        <f t="shared" si="13"/>
        <v/>
      </c>
      <c r="X26" s="240" t="str">
        <f t="shared" si="13"/>
        <v/>
      </c>
      <c r="Y26" s="240" t="str">
        <f t="shared" si="13"/>
        <v/>
      </c>
      <c r="Z26" s="240" t="str">
        <f t="shared" si="13"/>
        <v/>
      </c>
      <c r="AA26" s="240" t="str">
        <f t="shared" si="13"/>
        <v/>
      </c>
    </row>
    <row r="27" spans="1:27">
      <c r="A27" s="204"/>
      <c r="B27" s="205"/>
      <c r="C27" s="205"/>
      <c r="D27" s="206"/>
      <c r="E27" s="207"/>
      <c r="G27" s="177" t="str">
        <f t="shared" si="0"/>
        <v/>
      </c>
      <c r="H27" s="254" t="str">
        <f t="shared" si="7"/>
        <v/>
      </c>
      <c r="I27" s="177" t="str">
        <f t="shared" si="1"/>
        <v/>
      </c>
      <c r="J27" s="254" t="str">
        <f t="shared" si="8"/>
        <v/>
      </c>
      <c r="K27" s="177" t="str">
        <f t="shared" si="2"/>
        <v/>
      </c>
      <c r="L27" s="254" t="str">
        <f t="shared" si="9"/>
        <v/>
      </c>
      <c r="M27" s="177" t="str">
        <f t="shared" si="3"/>
        <v/>
      </c>
      <c r="N27" s="254" t="str">
        <f t="shared" si="10"/>
        <v/>
      </c>
      <c r="O27" s="239" t="str">
        <f t="shared" si="4"/>
        <v/>
      </c>
      <c r="P27" s="252" t="str">
        <f t="shared" si="11"/>
        <v/>
      </c>
      <c r="Q27" s="244"/>
      <c r="R27"/>
      <c r="S27" s="242" t="str">
        <f t="shared" si="5"/>
        <v/>
      </c>
      <c r="T27" s="249"/>
      <c r="U27" s="240" t="str">
        <f t="shared" si="13"/>
        <v/>
      </c>
      <c r="V27" s="240" t="str">
        <f t="shared" si="13"/>
        <v/>
      </c>
      <c r="W27" s="240" t="str">
        <f t="shared" si="13"/>
        <v/>
      </c>
      <c r="X27" s="240" t="str">
        <f t="shared" si="13"/>
        <v/>
      </c>
      <c r="Y27" s="240" t="str">
        <f t="shared" si="13"/>
        <v/>
      </c>
      <c r="Z27" s="240" t="str">
        <f t="shared" si="13"/>
        <v/>
      </c>
      <c r="AA27" s="240" t="str">
        <f t="shared" si="13"/>
        <v/>
      </c>
    </row>
    <row r="28" spans="1:27">
      <c r="A28" s="204"/>
      <c r="B28" s="205"/>
      <c r="C28" s="205"/>
      <c r="D28" s="206"/>
      <c r="E28" s="207"/>
      <c r="G28" s="177" t="str">
        <f t="shared" si="0"/>
        <v/>
      </c>
      <c r="H28" s="254" t="str">
        <f t="shared" si="7"/>
        <v/>
      </c>
      <c r="I28" s="177" t="str">
        <f t="shared" si="1"/>
        <v/>
      </c>
      <c r="J28" s="254" t="str">
        <f t="shared" si="8"/>
        <v/>
      </c>
      <c r="K28" s="177" t="str">
        <f t="shared" si="2"/>
        <v/>
      </c>
      <c r="L28" s="254" t="str">
        <f t="shared" si="9"/>
        <v/>
      </c>
      <c r="M28" s="177" t="str">
        <f t="shared" si="3"/>
        <v/>
      </c>
      <c r="N28" s="254" t="str">
        <f t="shared" si="10"/>
        <v/>
      </c>
      <c r="O28" s="239" t="str">
        <f t="shared" si="4"/>
        <v/>
      </c>
      <c r="P28" s="252" t="str">
        <f t="shared" si="11"/>
        <v/>
      </c>
      <c r="Q28" s="244"/>
      <c r="R28"/>
      <c r="S28" s="242" t="str">
        <f t="shared" si="5"/>
        <v/>
      </c>
      <c r="T28" s="249"/>
      <c r="U28" s="240" t="str">
        <f t="shared" si="13"/>
        <v/>
      </c>
      <c r="V28" s="240" t="str">
        <f t="shared" si="13"/>
        <v/>
      </c>
      <c r="W28" s="240" t="str">
        <f t="shared" si="13"/>
        <v/>
      </c>
      <c r="X28" s="240" t="str">
        <f t="shared" si="13"/>
        <v/>
      </c>
      <c r="Y28" s="240" t="str">
        <f t="shared" si="13"/>
        <v/>
      </c>
      <c r="Z28" s="240" t="str">
        <f t="shared" si="13"/>
        <v/>
      </c>
      <c r="AA28" s="240" t="str">
        <f t="shared" si="13"/>
        <v/>
      </c>
    </row>
    <row r="29" spans="1:27">
      <c r="A29" s="204"/>
      <c r="B29" s="205"/>
      <c r="C29" s="205"/>
      <c r="D29" s="206"/>
      <c r="E29" s="207"/>
      <c r="G29" s="177" t="str">
        <f t="shared" si="0"/>
        <v/>
      </c>
      <c r="H29" s="254" t="str">
        <f t="shared" si="7"/>
        <v/>
      </c>
      <c r="I29" s="177" t="str">
        <f t="shared" si="1"/>
        <v/>
      </c>
      <c r="J29" s="254" t="str">
        <f t="shared" si="8"/>
        <v/>
      </c>
      <c r="K29" s="177" t="str">
        <f t="shared" si="2"/>
        <v/>
      </c>
      <c r="L29" s="254" t="str">
        <f t="shared" si="9"/>
        <v/>
      </c>
      <c r="M29" s="177" t="str">
        <f t="shared" si="3"/>
        <v/>
      </c>
      <c r="N29" s="254" t="str">
        <f t="shared" si="10"/>
        <v/>
      </c>
      <c r="O29" s="239" t="str">
        <f t="shared" si="4"/>
        <v/>
      </c>
      <c r="P29" s="252" t="str">
        <f t="shared" si="11"/>
        <v/>
      </c>
      <c r="Q29" s="244"/>
      <c r="R29"/>
      <c r="S29" s="242" t="str">
        <f t="shared" si="5"/>
        <v/>
      </c>
      <c r="T29" s="249"/>
      <c r="U29" s="240" t="str">
        <f t="shared" si="13"/>
        <v/>
      </c>
      <c r="V29" s="240" t="str">
        <f t="shared" si="13"/>
        <v/>
      </c>
      <c r="W29" s="240" t="str">
        <f t="shared" si="13"/>
        <v/>
      </c>
      <c r="X29" s="240" t="str">
        <f t="shared" si="13"/>
        <v/>
      </c>
      <c r="Y29" s="240" t="str">
        <f t="shared" si="13"/>
        <v/>
      </c>
      <c r="Z29" s="240" t="str">
        <f t="shared" si="13"/>
        <v/>
      </c>
      <c r="AA29" s="240" t="str">
        <f t="shared" si="13"/>
        <v/>
      </c>
    </row>
    <row r="30" spans="1:27">
      <c r="A30" s="204"/>
      <c r="B30" s="205"/>
      <c r="C30" s="205"/>
      <c r="D30" s="206"/>
      <c r="E30" s="207"/>
      <c r="G30" s="177" t="str">
        <f t="shared" si="0"/>
        <v/>
      </c>
      <c r="H30" s="254" t="str">
        <f t="shared" si="7"/>
        <v/>
      </c>
      <c r="I30" s="177" t="str">
        <f t="shared" si="1"/>
        <v/>
      </c>
      <c r="J30" s="254" t="str">
        <f t="shared" si="8"/>
        <v/>
      </c>
      <c r="K30" s="177" t="str">
        <f t="shared" si="2"/>
        <v/>
      </c>
      <c r="L30" s="254" t="str">
        <f t="shared" si="9"/>
        <v/>
      </c>
      <c r="M30" s="177" t="str">
        <f t="shared" si="3"/>
        <v/>
      </c>
      <c r="N30" s="254" t="str">
        <f t="shared" si="10"/>
        <v/>
      </c>
      <c r="O30" s="239" t="str">
        <f t="shared" si="4"/>
        <v/>
      </c>
      <c r="P30" s="252" t="str">
        <f t="shared" si="11"/>
        <v/>
      </c>
      <c r="Q30" s="244"/>
      <c r="R30"/>
      <c r="S30" s="242" t="str">
        <f t="shared" si="5"/>
        <v/>
      </c>
      <c r="T30" s="249"/>
      <c r="U30" s="240" t="str">
        <f t="shared" si="13"/>
        <v/>
      </c>
      <c r="V30" s="240" t="str">
        <f t="shared" si="13"/>
        <v/>
      </c>
      <c r="W30" s="240" t="str">
        <f t="shared" si="13"/>
        <v/>
      </c>
      <c r="X30" s="240" t="str">
        <f t="shared" si="13"/>
        <v/>
      </c>
      <c r="Y30" s="240" t="str">
        <f t="shared" si="13"/>
        <v/>
      </c>
      <c r="Z30" s="240" t="str">
        <f t="shared" si="13"/>
        <v/>
      </c>
      <c r="AA30" s="240" t="str">
        <f t="shared" si="13"/>
        <v/>
      </c>
    </row>
    <row r="31" spans="1:27">
      <c r="A31" s="204"/>
      <c r="B31" s="205"/>
      <c r="C31" s="205"/>
      <c r="D31" s="206"/>
      <c r="E31" s="207"/>
      <c r="G31" s="177" t="str">
        <f t="shared" si="0"/>
        <v/>
      </c>
      <c r="H31" s="254" t="str">
        <f t="shared" si="7"/>
        <v/>
      </c>
      <c r="I31" s="177" t="str">
        <f t="shared" si="1"/>
        <v/>
      </c>
      <c r="J31" s="254" t="str">
        <f t="shared" si="8"/>
        <v/>
      </c>
      <c r="K31" s="177" t="str">
        <f t="shared" si="2"/>
        <v/>
      </c>
      <c r="L31" s="254" t="str">
        <f t="shared" si="9"/>
        <v/>
      </c>
      <c r="M31" s="177" t="str">
        <f t="shared" si="3"/>
        <v/>
      </c>
      <c r="N31" s="254" t="str">
        <f t="shared" si="10"/>
        <v/>
      </c>
      <c r="O31" s="239" t="str">
        <f t="shared" si="4"/>
        <v/>
      </c>
      <c r="P31" s="252" t="str">
        <f t="shared" si="11"/>
        <v/>
      </c>
      <c r="Q31" s="244"/>
      <c r="R31"/>
      <c r="S31" s="242" t="str">
        <f t="shared" si="5"/>
        <v/>
      </c>
      <c r="T31" s="249"/>
      <c r="U31" s="240" t="str">
        <f t="shared" si="13"/>
        <v/>
      </c>
      <c r="V31" s="240" t="str">
        <f t="shared" si="13"/>
        <v/>
      </c>
      <c r="W31" s="240" t="str">
        <f t="shared" si="13"/>
        <v/>
      </c>
      <c r="X31" s="240" t="str">
        <f t="shared" si="13"/>
        <v/>
      </c>
      <c r="Y31" s="240" t="str">
        <f t="shared" si="13"/>
        <v/>
      </c>
      <c r="Z31" s="240" t="str">
        <f t="shared" si="13"/>
        <v/>
      </c>
      <c r="AA31" s="240" t="str">
        <f t="shared" si="13"/>
        <v/>
      </c>
    </row>
    <row r="32" spans="1:27">
      <c r="A32" s="204"/>
      <c r="B32" s="205"/>
      <c r="C32" s="205"/>
      <c r="D32" s="206"/>
      <c r="E32" s="207"/>
      <c r="G32" s="177" t="str">
        <f t="shared" si="0"/>
        <v/>
      </c>
      <c r="H32" s="254" t="str">
        <f t="shared" si="7"/>
        <v/>
      </c>
      <c r="I32" s="177" t="str">
        <f t="shared" si="1"/>
        <v/>
      </c>
      <c r="J32" s="254" t="str">
        <f t="shared" si="8"/>
        <v/>
      </c>
      <c r="K32" s="177" t="str">
        <f t="shared" si="2"/>
        <v/>
      </c>
      <c r="L32" s="254" t="str">
        <f t="shared" si="9"/>
        <v/>
      </c>
      <c r="M32" s="177" t="str">
        <f t="shared" si="3"/>
        <v/>
      </c>
      <c r="N32" s="254" t="str">
        <f t="shared" si="10"/>
        <v/>
      </c>
      <c r="O32" s="239" t="str">
        <f t="shared" si="4"/>
        <v/>
      </c>
      <c r="P32" s="252" t="str">
        <f t="shared" si="11"/>
        <v/>
      </c>
      <c r="Q32" s="244"/>
      <c r="R32"/>
      <c r="S32" s="242" t="str">
        <f t="shared" si="5"/>
        <v/>
      </c>
      <c r="T32" s="249"/>
      <c r="U32" s="240" t="str">
        <f t="shared" si="13"/>
        <v/>
      </c>
      <c r="V32" s="240" t="str">
        <f t="shared" si="13"/>
        <v/>
      </c>
      <c r="W32" s="240" t="str">
        <f t="shared" si="13"/>
        <v/>
      </c>
      <c r="X32" s="240" t="str">
        <f t="shared" si="13"/>
        <v/>
      </c>
      <c r="Y32" s="240" t="str">
        <f t="shared" si="13"/>
        <v/>
      </c>
      <c r="Z32" s="240" t="str">
        <f t="shared" si="13"/>
        <v/>
      </c>
      <c r="AA32" s="240" t="str">
        <f t="shared" si="13"/>
        <v/>
      </c>
    </row>
    <row r="33" spans="1:27">
      <c r="A33" s="204"/>
      <c r="B33" s="205"/>
      <c r="C33" s="205"/>
      <c r="D33" s="206"/>
      <c r="E33" s="207"/>
      <c r="G33" s="177" t="str">
        <f t="shared" si="0"/>
        <v/>
      </c>
      <c r="H33" s="254" t="str">
        <f t="shared" si="7"/>
        <v/>
      </c>
      <c r="I33" s="177" t="str">
        <f t="shared" si="1"/>
        <v/>
      </c>
      <c r="J33" s="254" t="str">
        <f t="shared" si="8"/>
        <v/>
      </c>
      <c r="K33" s="177" t="str">
        <f t="shared" si="2"/>
        <v/>
      </c>
      <c r="L33" s="254" t="str">
        <f t="shared" si="9"/>
        <v/>
      </c>
      <c r="M33" s="177" t="str">
        <f t="shared" si="3"/>
        <v/>
      </c>
      <c r="N33" s="254" t="str">
        <f t="shared" si="10"/>
        <v/>
      </c>
      <c r="O33" s="239" t="str">
        <f t="shared" si="4"/>
        <v/>
      </c>
      <c r="P33" s="252" t="str">
        <f t="shared" si="11"/>
        <v/>
      </c>
      <c r="Q33" s="244"/>
      <c r="R33"/>
      <c r="S33" s="242" t="str">
        <f t="shared" si="5"/>
        <v/>
      </c>
      <c r="T33" s="249"/>
      <c r="U33" s="240" t="str">
        <f t="shared" si="13"/>
        <v/>
      </c>
      <c r="V33" s="240" t="str">
        <f t="shared" si="13"/>
        <v/>
      </c>
      <c r="W33" s="240" t="str">
        <f t="shared" si="13"/>
        <v/>
      </c>
      <c r="X33" s="240" t="str">
        <f t="shared" si="13"/>
        <v/>
      </c>
      <c r="Y33" s="240" t="str">
        <f t="shared" si="13"/>
        <v/>
      </c>
      <c r="Z33" s="240" t="str">
        <f t="shared" si="13"/>
        <v/>
      </c>
      <c r="AA33" s="240" t="str">
        <f t="shared" si="13"/>
        <v/>
      </c>
    </row>
    <row r="34" spans="1:27">
      <c r="A34" s="204"/>
      <c r="B34" s="205"/>
      <c r="C34" s="205"/>
      <c r="D34" s="206"/>
      <c r="E34" s="207"/>
      <c r="G34" s="177" t="str">
        <f t="shared" si="0"/>
        <v/>
      </c>
      <c r="H34" s="254" t="str">
        <f t="shared" si="7"/>
        <v/>
      </c>
      <c r="I34" s="177" t="str">
        <f t="shared" si="1"/>
        <v/>
      </c>
      <c r="J34" s="254" t="str">
        <f t="shared" si="8"/>
        <v/>
      </c>
      <c r="K34" s="177" t="str">
        <f t="shared" si="2"/>
        <v/>
      </c>
      <c r="L34" s="254" t="str">
        <f t="shared" si="9"/>
        <v/>
      </c>
      <c r="M34" s="177" t="str">
        <f t="shared" si="3"/>
        <v/>
      </c>
      <c r="N34" s="254" t="str">
        <f t="shared" si="10"/>
        <v/>
      </c>
      <c r="O34" s="239" t="str">
        <f t="shared" si="4"/>
        <v/>
      </c>
      <c r="P34" s="252" t="str">
        <f t="shared" si="11"/>
        <v/>
      </c>
      <c r="Q34" s="244"/>
      <c r="R34"/>
      <c r="S34" s="242" t="str">
        <f t="shared" si="5"/>
        <v/>
      </c>
      <c r="T34" s="249"/>
      <c r="U34" s="240" t="str">
        <f t="shared" ref="U34:AA40" si="14">IF(T34="","",IF(INT(T34/100)=0,"",INT(T34/100)*10))</f>
        <v/>
      </c>
      <c r="V34" s="240" t="str">
        <f t="shared" si="14"/>
        <v/>
      </c>
      <c r="W34" s="240" t="str">
        <f t="shared" si="14"/>
        <v/>
      </c>
      <c r="X34" s="240" t="str">
        <f t="shared" si="14"/>
        <v/>
      </c>
      <c r="Y34" s="240" t="str">
        <f t="shared" si="14"/>
        <v/>
      </c>
      <c r="Z34" s="240" t="str">
        <f t="shared" si="14"/>
        <v/>
      </c>
      <c r="AA34" s="240" t="str">
        <f t="shared" si="14"/>
        <v/>
      </c>
    </row>
    <row r="35" spans="1:27">
      <c r="A35" s="204"/>
      <c r="B35" s="205"/>
      <c r="C35" s="205"/>
      <c r="D35" s="206"/>
      <c r="E35" s="207"/>
      <c r="G35" s="177" t="str">
        <f t="shared" si="0"/>
        <v/>
      </c>
      <c r="H35" s="254" t="str">
        <f t="shared" si="7"/>
        <v/>
      </c>
      <c r="I35" s="177" t="str">
        <f t="shared" si="1"/>
        <v/>
      </c>
      <c r="J35" s="254" t="str">
        <f t="shared" si="8"/>
        <v/>
      </c>
      <c r="K35" s="177" t="str">
        <f t="shared" si="2"/>
        <v/>
      </c>
      <c r="L35" s="254" t="str">
        <f t="shared" si="9"/>
        <v/>
      </c>
      <c r="M35" s="177" t="str">
        <f t="shared" si="3"/>
        <v/>
      </c>
      <c r="N35" s="254" t="str">
        <f t="shared" si="10"/>
        <v/>
      </c>
      <c r="O35" s="239" t="str">
        <f t="shared" si="4"/>
        <v/>
      </c>
      <c r="P35" s="252" t="str">
        <f t="shared" si="11"/>
        <v/>
      </c>
      <c r="Q35" s="244"/>
      <c r="R35"/>
      <c r="S35" s="242" t="str">
        <f t="shared" si="5"/>
        <v/>
      </c>
      <c r="T35" s="249"/>
      <c r="U35" s="240" t="str">
        <f t="shared" si="14"/>
        <v/>
      </c>
      <c r="V35" s="240" t="str">
        <f t="shared" si="14"/>
        <v/>
      </c>
      <c r="W35" s="240" t="str">
        <f t="shared" si="14"/>
        <v/>
      </c>
      <c r="X35" s="240" t="str">
        <f t="shared" si="14"/>
        <v/>
      </c>
      <c r="Y35" s="240" t="str">
        <f t="shared" si="14"/>
        <v/>
      </c>
      <c r="Z35" s="240" t="str">
        <f t="shared" si="14"/>
        <v/>
      </c>
      <c r="AA35" s="240" t="str">
        <f t="shared" si="14"/>
        <v/>
      </c>
    </row>
    <row r="36" spans="1:27">
      <c r="A36" s="204"/>
      <c r="B36" s="205"/>
      <c r="C36" s="205"/>
      <c r="D36" s="206"/>
      <c r="E36" s="207"/>
      <c r="G36" s="177" t="str">
        <f t="shared" si="0"/>
        <v/>
      </c>
      <c r="H36" s="254" t="str">
        <f t="shared" si="7"/>
        <v/>
      </c>
      <c r="I36" s="177" t="str">
        <f t="shared" si="1"/>
        <v/>
      </c>
      <c r="J36" s="254" t="str">
        <f t="shared" si="8"/>
        <v/>
      </c>
      <c r="K36" s="177" t="str">
        <f t="shared" si="2"/>
        <v/>
      </c>
      <c r="L36" s="254" t="str">
        <f t="shared" si="9"/>
        <v/>
      </c>
      <c r="M36" s="177" t="str">
        <f t="shared" si="3"/>
        <v/>
      </c>
      <c r="N36" s="254" t="str">
        <f t="shared" si="10"/>
        <v/>
      </c>
      <c r="O36" s="239" t="str">
        <f t="shared" si="4"/>
        <v/>
      </c>
      <c r="P36" s="252" t="str">
        <f t="shared" si="11"/>
        <v/>
      </c>
      <c r="Q36" s="244"/>
      <c r="R36"/>
      <c r="S36" s="242" t="str">
        <f t="shared" si="5"/>
        <v/>
      </c>
      <c r="T36" s="249"/>
      <c r="U36" s="240" t="str">
        <f t="shared" si="14"/>
        <v/>
      </c>
      <c r="V36" s="240" t="str">
        <f t="shared" si="14"/>
        <v/>
      </c>
      <c r="W36" s="240" t="str">
        <f t="shared" si="14"/>
        <v/>
      </c>
      <c r="X36" s="240" t="str">
        <f t="shared" si="14"/>
        <v/>
      </c>
      <c r="Y36" s="240" t="str">
        <f t="shared" si="14"/>
        <v/>
      </c>
      <c r="Z36" s="240" t="str">
        <f t="shared" si="14"/>
        <v/>
      </c>
      <c r="AA36" s="240" t="str">
        <f t="shared" si="14"/>
        <v/>
      </c>
    </row>
    <row r="37" spans="1:27">
      <c r="A37" s="204"/>
      <c r="B37" s="205"/>
      <c r="C37" s="205"/>
      <c r="D37" s="206"/>
      <c r="E37" s="207"/>
      <c r="G37" s="177" t="str">
        <f t="shared" si="0"/>
        <v/>
      </c>
      <c r="H37" s="254" t="str">
        <f t="shared" si="7"/>
        <v/>
      </c>
      <c r="I37" s="177" t="str">
        <f t="shared" si="1"/>
        <v/>
      </c>
      <c r="J37" s="254" t="str">
        <f t="shared" si="8"/>
        <v/>
      </c>
      <c r="K37" s="177" t="str">
        <f t="shared" si="2"/>
        <v/>
      </c>
      <c r="L37" s="254" t="str">
        <f t="shared" si="9"/>
        <v/>
      </c>
      <c r="M37" s="177" t="str">
        <f t="shared" si="3"/>
        <v/>
      </c>
      <c r="N37" s="254" t="str">
        <f t="shared" si="10"/>
        <v/>
      </c>
      <c r="O37" s="239" t="str">
        <f t="shared" si="4"/>
        <v/>
      </c>
      <c r="P37" s="252" t="str">
        <f t="shared" si="11"/>
        <v/>
      </c>
      <c r="Q37" s="244"/>
      <c r="R37"/>
      <c r="S37" s="242" t="str">
        <f t="shared" si="5"/>
        <v/>
      </c>
      <c r="T37" s="249"/>
      <c r="U37" s="240" t="str">
        <f t="shared" si="14"/>
        <v/>
      </c>
      <c r="V37" s="240" t="str">
        <f t="shared" si="14"/>
        <v/>
      </c>
      <c r="W37" s="240" t="str">
        <f t="shared" si="14"/>
        <v/>
      </c>
      <c r="X37" s="240" t="str">
        <f t="shared" si="14"/>
        <v/>
      </c>
      <c r="Y37" s="240" t="str">
        <f t="shared" si="14"/>
        <v/>
      </c>
      <c r="Z37" s="240" t="str">
        <f t="shared" si="14"/>
        <v/>
      </c>
      <c r="AA37" s="240" t="str">
        <f t="shared" si="14"/>
        <v/>
      </c>
    </row>
    <row r="38" spans="1:27">
      <c r="A38" s="204"/>
      <c r="B38" s="205"/>
      <c r="C38" s="205"/>
      <c r="D38" s="206"/>
      <c r="E38" s="207"/>
      <c r="G38" s="177" t="str">
        <f t="shared" si="0"/>
        <v/>
      </c>
      <c r="H38" s="254" t="str">
        <f t="shared" si="7"/>
        <v/>
      </c>
      <c r="I38" s="177" t="str">
        <f t="shared" si="1"/>
        <v/>
      </c>
      <c r="J38" s="254" t="str">
        <f t="shared" si="8"/>
        <v/>
      </c>
      <c r="K38" s="177" t="str">
        <f t="shared" si="2"/>
        <v/>
      </c>
      <c r="L38" s="254" t="str">
        <f t="shared" si="9"/>
        <v/>
      </c>
      <c r="M38" s="177" t="str">
        <f t="shared" si="3"/>
        <v/>
      </c>
      <c r="N38" s="254" t="str">
        <f t="shared" si="10"/>
        <v/>
      </c>
      <c r="O38" s="239" t="str">
        <f t="shared" si="4"/>
        <v/>
      </c>
      <c r="P38" s="252" t="str">
        <f t="shared" si="11"/>
        <v/>
      </c>
      <c r="Q38" s="244"/>
      <c r="R38"/>
      <c r="S38" s="242" t="str">
        <f t="shared" si="5"/>
        <v/>
      </c>
      <c r="T38" s="249"/>
      <c r="U38" s="240" t="str">
        <f t="shared" si="14"/>
        <v/>
      </c>
      <c r="V38" s="240" t="str">
        <f t="shared" si="14"/>
        <v/>
      </c>
      <c r="W38" s="240" t="str">
        <f t="shared" si="14"/>
        <v/>
      </c>
      <c r="X38" s="240" t="str">
        <f t="shared" si="14"/>
        <v/>
      </c>
      <c r="Y38" s="240" t="str">
        <f t="shared" si="14"/>
        <v/>
      </c>
      <c r="Z38" s="240" t="str">
        <f t="shared" si="14"/>
        <v/>
      </c>
      <c r="AA38" s="240" t="str">
        <f t="shared" si="14"/>
        <v/>
      </c>
    </row>
    <row r="39" spans="1:27">
      <c r="A39" s="204"/>
      <c r="B39" s="205"/>
      <c r="C39" s="205"/>
      <c r="D39" s="206"/>
      <c r="E39" s="207"/>
      <c r="G39" s="177" t="str">
        <f t="shared" si="0"/>
        <v/>
      </c>
      <c r="H39" s="254" t="str">
        <f t="shared" si="7"/>
        <v/>
      </c>
      <c r="I39" s="177" t="str">
        <f t="shared" si="1"/>
        <v/>
      </c>
      <c r="J39" s="254" t="str">
        <f t="shared" si="8"/>
        <v/>
      </c>
      <c r="K39" s="177" t="str">
        <f t="shared" si="2"/>
        <v/>
      </c>
      <c r="L39" s="254" t="str">
        <f t="shared" si="9"/>
        <v/>
      </c>
      <c r="M39" s="177" t="str">
        <f t="shared" si="3"/>
        <v/>
      </c>
      <c r="N39" s="254" t="str">
        <f t="shared" si="10"/>
        <v/>
      </c>
      <c r="O39" s="239" t="str">
        <f t="shared" si="4"/>
        <v/>
      </c>
      <c r="P39" s="252" t="str">
        <f t="shared" si="11"/>
        <v/>
      </c>
      <c r="Q39" s="244"/>
      <c r="R39"/>
      <c r="S39" s="242" t="str">
        <f t="shared" si="5"/>
        <v/>
      </c>
      <c r="T39" s="249"/>
      <c r="U39" s="240" t="str">
        <f t="shared" si="14"/>
        <v/>
      </c>
      <c r="V39" s="240" t="str">
        <f t="shared" si="14"/>
        <v/>
      </c>
      <c r="W39" s="240" t="str">
        <f t="shared" si="14"/>
        <v/>
      </c>
      <c r="X39" s="240" t="str">
        <f t="shared" si="14"/>
        <v/>
      </c>
      <c r="Y39" s="240" t="str">
        <f t="shared" si="14"/>
        <v/>
      </c>
      <c r="Z39" s="240" t="str">
        <f t="shared" si="14"/>
        <v/>
      </c>
      <c r="AA39" s="240" t="str">
        <f t="shared" si="14"/>
        <v/>
      </c>
    </row>
    <row r="40" spans="1:27">
      <c r="A40" s="204"/>
      <c r="B40" s="205"/>
      <c r="C40" s="205"/>
      <c r="D40" s="206"/>
      <c r="E40" s="207"/>
      <c r="G40" s="177" t="str">
        <f t="shared" si="0"/>
        <v/>
      </c>
      <c r="H40" s="254" t="str">
        <f t="shared" si="7"/>
        <v/>
      </c>
      <c r="I40" s="177" t="str">
        <f t="shared" si="1"/>
        <v/>
      </c>
      <c r="J40" s="254" t="str">
        <f t="shared" si="8"/>
        <v/>
      </c>
      <c r="K40" s="177" t="str">
        <f t="shared" si="2"/>
        <v/>
      </c>
      <c r="L40" s="254" t="str">
        <f t="shared" si="9"/>
        <v/>
      </c>
      <c r="M40" s="177" t="str">
        <f t="shared" si="3"/>
        <v/>
      </c>
      <c r="N40" s="254" t="str">
        <f t="shared" si="10"/>
        <v/>
      </c>
      <c r="O40" s="239" t="str">
        <f t="shared" si="4"/>
        <v/>
      </c>
      <c r="P40" s="252" t="str">
        <f t="shared" si="11"/>
        <v/>
      </c>
      <c r="Q40" s="246"/>
      <c r="R40"/>
      <c r="S40" s="242" t="str">
        <f t="shared" si="5"/>
        <v/>
      </c>
      <c r="T40" s="249"/>
      <c r="U40" s="240" t="str">
        <f t="shared" si="14"/>
        <v/>
      </c>
      <c r="V40" s="240" t="str">
        <f t="shared" si="14"/>
        <v/>
      </c>
      <c r="W40" s="240" t="str">
        <f t="shared" si="14"/>
        <v/>
      </c>
      <c r="X40" s="240" t="str">
        <f t="shared" si="14"/>
        <v/>
      </c>
      <c r="Y40" s="240" t="str">
        <f t="shared" si="14"/>
        <v/>
      </c>
      <c r="Z40" s="240" t="str">
        <f t="shared" si="14"/>
        <v/>
      </c>
      <c r="AA40" s="240" t="str">
        <f t="shared" si="14"/>
        <v/>
      </c>
    </row>
    <row r="41" spans="1:27">
      <c r="T41" s="250">
        <f>IF(SUM(T4:T40)=0,"",SUM(T4:T40))</f>
        <v>1660</v>
      </c>
      <c r="U41" s="241">
        <f t="shared" ref="U41:AA41" si="15">IF(SUM(U4:U40)=0,"",SUM(U4:U40))</f>
        <v>140</v>
      </c>
      <c r="V41" s="241" t="str">
        <f t="shared" si="15"/>
        <v/>
      </c>
      <c r="W41" s="241" t="str">
        <f t="shared" si="15"/>
        <v/>
      </c>
      <c r="X41" s="241" t="str">
        <f t="shared" si="15"/>
        <v/>
      </c>
      <c r="Y41" s="241" t="str">
        <f t="shared" si="15"/>
        <v/>
      </c>
      <c r="Z41" s="241" t="str">
        <f t="shared" si="15"/>
        <v/>
      </c>
      <c r="AA41" s="241" t="str">
        <f t="shared" si="15"/>
        <v/>
      </c>
    </row>
  </sheetData>
  <sortState ref="A4:V40">
    <sortCondition ref="A4:A40"/>
  </sortState>
  <mergeCells count="7">
    <mergeCell ref="T2:AA2"/>
    <mergeCell ref="G3:H3"/>
    <mergeCell ref="I3:J3"/>
    <mergeCell ref="K3:L3"/>
    <mergeCell ref="M3:N3"/>
    <mergeCell ref="O3:P3"/>
    <mergeCell ref="G2:P2"/>
  </mergeCells>
  <dataValidations count="2">
    <dataValidation type="list" allowBlank="1" showInputMessage="1" showErrorMessage="1" sqref="E41">
      <formula1>$AK$10:$AK$13</formula1>
    </dataValidation>
    <dataValidation type="list" allowBlank="1" showInputMessage="1" showErrorMessage="1" sqref="E4:E40">
      <formula1>$AI$10:$AI$14</formula1>
    </dataValidation>
  </dataValidations>
  <pageMargins left="0.75" right="0.75" top="1" bottom="1" header="0.5" footer="0.5"/>
  <pageSetup orientation="portrait" horizontalDpi="4294967292" verticalDpi="4294967292"/>
  <ignoredErrors>
    <ignoredError sqref="T41 S7:U40 G21:G40 I21:I40 H4:H40 K21:K40 J4:J40 M21:M40 L4:L40 N4:N40 O21:O40 P4:P40" emptyCellReference="1"/>
  </ignoredErrors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 enableFormatConditionsCalculation="0">
    <tabColor theme="0" tint="-0.14999847407452621"/>
  </sheetPr>
  <dimension ref="A1:O9"/>
  <sheetViews>
    <sheetView workbookViewId="0">
      <selection activeCell="D1" sqref="D1"/>
    </sheetView>
  </sheetViews>
  <sheetFormatPr baseColWidth="10" defaultRowHeight="15" x14ac:dyDescent="0"/>
  <cols>
    <col min="1" max="1" width="28.1640625" customWidth="1"/>
    <col min="3" max="4" width="10.83203125" style="97"/>
  </cols>
  <sheetData>
    <row r="1" spans="1:15" ht="24">
      <c r="A1" s="199" t="s">
        <v>297</v>
      </c>
      <c r="C1" s="227">
        <f>SUM(C3:C199)</f>
        <v>324</v>
      </c>
      <c r="D1" s="227">
        <f>SUM(D3:D199)*0.8</f>
        <v>14.8</v>
      </c>
    </row>
    <row r="2" spans="1:15" ht="16" thickBot="1">
      <c r="A2" s="212" t="s">
        <v>197</v>
      </c>
      <c r="B2" s="212" t="s">
        <v>298</v>
      </c>
      <c r="C2" s="213" t="s">
        <v>299</v>
      </c>
      <c r="D2" s="213" t="s">
        <v>2</v>
      </c>
      <c r="E2" s="212" t="s">
        <v>97</v>
      </c>
      <c r="F2" s="186"/>
      <c r="G2" s="186"/>
      <c r="H2" s="186"/>
      <c r="I2" s="186"/>
      <c r="J2" s="186"/>
      <c r="K2" s="186"/>
      <c r="L2" s="186"/>
      <c r="M2" s="186"/>
      <c r="N2" s="186"/>
      <c r="O2" s="186"/>
    </row>
    <row r="3" spans="1:15">
      <c r="A3" t="s">
        <v>125</v>
      </c>
      <c r="B3" t="s">
        <v>313</v>
      </c>
      <c r="C3" s="16">
        <v>135</v>
      </c>
      <c r="D3" s="16">
        <v>11</v>
      </c>
      <c r="E3" t="s">
        <v>301</v>
      </c>
    </row>
    <row r="4" spans="1:15">
      <c r="A4" t="s">
        <v>309</v>
      </c>
      <c r="B4" t="s">
        <v>289</v>
      </c>
      <c r="C4" s="16">
        <v>27</v>
      </c>
      <c r="D4" s="16"/>
      <c r="E4" t="s">
        <v>304</v>
      </c>
    </row>
    <row r="5" spans="1:15">
      <c r="A5" t="s">
        <v>307</v>
      </c>
      <c r="B5" t="s">
        <v>302</v>
      </c>
      <c r="C5" s="16">
        <v>91</v>
      </c>
      <c r="D5" s="16">
        <v>6</v>
      </c>
      <c r="E5" t="s">
        <v>303</v>
      </c>
    </row>
    <row r="6" spans="1:15">
      <c r="A6" t="s">
        <v>306</v>
      </c>
      <c r="B6" t="s">
        <v>294</v>
      </c>
      <c r="C6" s="16">
        <v>18</v>
      </c>
      <c r="D6" s="16">
        <v>1.5</v>
      </c>
      <c r="E6" t="s">
        <v>300</v>
      </c>
    </row>
    <row r="7" spans="1:15">
      <c r="A7" t="s">
        <v>312</v>
      </c>
      <c r="B7" t="s">
        <v>289</v>
      </c>
      <c r="C7" s="16">
        <v>15</v>
      </c>
      <c r="D7" s="16"/>
      <c r="E7" t="s">
        <v>290</v>
      </c>
    </row>
    <row r="8" spans="1:15">
      <c r="A8" t="s">
        <v>308</v>
      </c>
      <c r="B8" t="s">
        <v>289</v>
      </c>
      <c r="C8" s="16">
        <v>20</v>
      </c>
      <c r="D8" s="16"/>
      <c r="E8" t="s">
        <v>310</v>
      </c>
    </row>
    <row r="9" spans="1:15">
      <c r="A9" t="s">
        <v>308</v>
      </c>
      <c r="B9" t="s">
        <v>305</v>
      </c>
      <c r="C9" s="16">
        <v>18</v>
      </c>
      <c r="D9" s="16"/>
      <c r="E9" t="s">
        <v>311</v>
      </c>
    </row>
  </sheetData>
  <sheetProtection sheet="1" objects="1" scenarios="1"/>
  <sortState ref="A3:G9">
    <sortCondition ref="A3:A9"/>
  </sortState>
  <pageMargins left="0.75" right="0.75" top="1" bottom="1" header="0.5" footer="0.5"/>
  <pageSetup orientation="portrait" horizontalDpi="4294967292" verticalDpi="4294967292"/>
  <ignoredErrors>
    <ignoredError sqref="C1:D1" emptyCellReference="1"/>
  </ignoredErrors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 enableFormatConditionsCalculation="0">
    <tabColor theme="9" tint="-0.499984740745262"/>
  </sheetPr>
  <dimension ref="A1:Y34"/>
  <sheetViews>
    <sheetView showGridLines="0" workbookViewId="0">
      <selection activeCell="E2" sqref="E2"/>
    </sheetView>
  </sheetViews>
  <sheetFormatPr baseColWidth="10" defaultRowHeight="15" x14ac:dyDescent="0"/>
  <cols>
    <col min="1" max="1" width="11.1640625" style="101" bestFit="1" customWidth="1"/>
    <col min="2" max="2" width="10.83203125" style="101"/>
    <col min="3" max="3" width="12.33203125" style="101" bestFit="1" customWidth="1"/>
    <col min="4" max="4" width="11.6640625" style="101" bestFit="1" customWidth="1"/>
    <col min="5" max="5" width="11.5" style="101" bestFit="1" customWidth="1"/>
    <col min="6" max="6" width="11.1640625" style="101" bestFit="1" customWidth="1"/>
    <col min="7" max="9" width="12.33203125" style="101" bestFit="1" customWidth="1"/>
    <col min="10" max="16384" width="10.83203125" style="101"/>
  </cols>
  <sheetData>
    <row r="1" spans="1:25" ht="18">
      <c r="A1" s="100" t="s">
        <v>100</v>
      </c>
    </row>
    <row r="2" spans="1:25">
      <c r="A2" s="102" t="s">
        <v>101</v>
      </c>
      <c r="C2" s="103">
        <f>SUM(E2:R2)</f>
        <v>43000</v>
      </c>
      <c r="D2" s="101" t="s">
        <v>102</v>
      </c>
      <c r="E2" s="104">
        <v>23000</v>
      </c>
      <c r="F2" s="104">
        <v>20000</v>
      </c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</row>
    <row r="3" spans="1:25">
      <c r="A3" s="102" t="s">
        <v>103</v>
      </c>
      <c r="C3" s="103">
        <f>SUM(E3:R3)</f>
        <v>0</v>
      </c>
      <c r="D3" s="101" t="s">
        <v>102</v>
      </c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</row>
    <row r="4" spans="1:25">
      <c r="A4" s="102" t="s">
        <v>129</v>
      </c>
      <c r="C4" s="103">
        <f>E4</f>
        <v>0</v>
      </c>
      <c r="D4" s="101" t="s">
        <v>102</v>
      </c>
      <c r="E4" s="104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</row>
    <row r="5" spans="1:25">
      <c r="A5" s="102" t="s">
        <v>38</v>
      </c>
      <c r="C5" s="103">
        <f>IF(E5="",SUM(C2:C4),E5)</f>
        <v>285000</v>
      </c>
      <c r="D5" s="101" t="s">
        <v>102</v>
      </c>
      <c r="E5" s="104">
        <v>285000</v>
      </c>
    </row>
    <row r="7" spans="1:25" s="106" customFormat="1"/>
    <row r="8" spans="1:25" ht="18">
      <c r="A8" s="100" t="s">
        <v>104</v>
      </c>
      <c r="H8" s="116" t="s">
        <v>132</v>
      </c>
      <c r="I8" s="107"/>
      <c r="K8" s="116" t="s">
        <v>124</v>
      </c>
      <c r="S8" s="109" t="s">
        <v>105</v>
      </c>
      <c r="T8" s="109"/>
      <c r="U8" s="109"/>
      <c r="V8" s="109"/>
    </row>
    <row r="9" spans="1:25">
      <c r="A9" s="102" t="s">
        <v>40</v>
      </c>
      <c r="C9" s="107" t="s">
        <v>105</v>
      </c>
      <c r="D9" s="107" t="s">
        <v>2</v>
      </c>
      <c r="E9" s="107"/>
      <c r="G9"/>
      <c r="H9" s="129" t="s">
        <v>112</v>
      </c>
      <c r="I9" s="113"/>
      <c r="K9" s="117">
        <f>(1+SQRT(COUNT(E2:R2))/10)</f>
        <v>1.1414213562373094</v>
      </c>
      <c r="S9" s="109" t="s">
        <v>112</v>
      </c>
      <c r="T9" s="109" t="s">
        <v>112</v>
      </c>
      <c r="U9" s="109">
        <v>1</v>
      </c>
      <c r="V9" s="109"/>
      <c r="W9" s="109"/>
      <c r="X9" s="109"/>
      <c r="Y9" s="109"/>
    </row>
    <row r="10" spans="1:25">
      <c r="A10" s="110">
        <f>C3</f>
        <v>0</v>
      </c>
      <c r="C10" s="114">
        <f>A10*HUNT_MARGIN</f>
        <v>0</v>
      </c>
      <c r="D10" s="108">
        <f>A10*0.9*HUNTER_PAY*YEARGOLD*VLOOKUP(H9,T9:U10,2)+A10*0.1*HUNTER_PAY*YEARGOLD*K9</f>
        <v>0</v>
      </c>
      <c r="E10" s="108"/>
      <c r="G10"/>
      <c r="H10"/>
      <c r="S10" s="112" t="s">
        <v>121</v>
      </c>
      <c r="T10" s="112" t="s">
        <v>121</v>
      </c>
      <c r="U10" s="109">
        <v>1.1000000000000001</v>
      </c>
      <c r="V10" s="109"/>
      <c r="W10" s="109"/>
      <c r="X10" s="109"/>
      <c r="Y10" s="109"/>
    </row>
    <row r="11" spans="1:25">
      <c r="C11" s="115"/>
      <c r="S11" s="130" t="s">
        <v>138</v>
      </c>
      <c r="T11" s="130" t="s">
        <v>138</v>
      </c>
      <c r="U11">
        <v>1</v>
      </c>
    </row>
    <row r="12" spans="1:25" ht="18">
      <c r="A12" s="100" t="s">
        <v>106</v>
      </c>
      <c r="S12" t="s">
        <v>133</v>
      </c>
      <c r="T12" t="s">
        <v>133</v>
      </c>
      <c r="U12" s="109">
        <v>1.1000000000000001</v>
      </c>
    </row>
    <row r="13" spans="1:25">
      <c r="A13" s="102" t="s">
        <v>40</v>
      </c>
      <c r="C13" s="107" t="s">
        <v>105</v>
      </c>
      <c r="D13" s="107" t="s">
        <v>2</v>
      </c>
      <c r="S13" t="s">
        <v>134</v>
      </c>
      <c r="T13" t="s">
        <v>134</v>
      </c>
      <c r="U13" s="109">
        <v>1.25</v>
      </c>
    </row>
    <row r="14" spans="1:25">
      <c r="A14" s="110">
        <f>IF(C5&gt;0,C5-C3-C2+C4,0)</f>
        <v>242000</v>
      </c>
      <c r="C14" s="111">
        <f>A14*FARM_MARGIN*0.95*VLOOKUP(H9,T9:U10,2)</f>
        <v>287375</v>
      </c>
      <c r="D14" s="108">
        <f>A14*FARMER_PAY*YEARGOLD*0.95*VLOOKUP(H9,T9:U10,2)+A14*SCALED_INCOME2*YEARGOLD*K9*0.05</f>
        <v>75875.599205235718</v>
      </c>
      <c r="S14" s="101" t="s">
        <v>135</v>
      </c>
      <c r="T14" s="101" t="s">
        <v>135</v>
      </c>
      <c r="U14" s="101">
        <v>1.5</v>
      </c>
    </row>
    <row r="15" spans="1:25">
      <c r="C15" s="115"/>
      <c r="S15" s="101" t="s">
        <v>136</v>
      </c>
      <c r="T15" s="101" t="s">
        <v>136</v>
      </c>
      <c r="U15" s="101">
        <v>2</v>
      </c>
    </row>
    <row r="16" spans="1:25" ht="18">
      <c r="A16" s="100" t="s">
        <v>108</v>
      </c>
      <c r="S16" s="101" t="s">
        <v>137</v>
      </c>
      <c r="T16" s="101" t="s">
        <v>137</v>
      </c>
      <c r="U16" s="101">
        <v>3</v>
      </c>
    </row>
    <row r="17" spans="1:11">
      <c r="A17" s="102" t="s">
        <v>40</v>
      </c>
      <c r="C17" s="107"/>
      <c r="D17" s="107" t="s">
        <v>2</v>
      </c>
    </row>
    <row r="18" spans="1:11">
      <c r="A18" s="110">
        <f>C2</f>
        <v>43000</v>
      </c>
      <c r="C18" s="111"/>
      <c r="D18" s="108">
        <f>A18*SCALED_INCOME*YEARGOLD*K9</f>
        <v>42474.044698446036</v>
      </c>
      <c r="F18" s="118"/>
    </row>
    <row r="19" spans="1:11">
      <c r="A19" s="103"/>
      <c r="F19" s="118"/>
      <c r="G19" s="118"/>
      <c r="H19" s="118"/>
      <c r="I19" s="118"/>
    </row>
    <row r="20" spans="1:11" s="106" customFormat="1">
      <c r="A20" s="119"/>
    </row>
    <row r="21" spans="1:11" ht="18">
      <c r="A21" s="100" t="s">
        <v>107</v>
      </c>
      <c r="G21" s="116" t="s">
        <v>110</v>
      </c>
      <c r="H21" s="107"/>
      <c r="K21" s="100"/>
    </row>
    <row r="22" spans="1:11">
      <c r="A22" s="127" t="s">
        <v>131</v>
      </c>
      <c r="C22" s="124" t="s">
        <v>119</v>
      </c>
      <c r="D22" s="125" t="str">
        <f>IF(A23&lt;0,A23*0.25*1.25,"")</f>
        <v/>
      </c>
      <c r="E22" s="126" t="str">
        <f>IF(D22="","",D22/1000)</f>
        <v/>
      </c>
      <c r="F22"/>
      <c r="G22" s="121">
        <f>(D10+D14+D18)/1000</f>
        <v>118.34964390368175</v>
      </c>
      <c r="H22" s="107"/>
      <c r="I22" s="120"/>
    </row>
    <row r="23" spans="1:11">
      <c r="A23" s="111">
        <f>(C10+C14)-(A10+A14+A18)</f>
        <v>2375</v>
      </c>
      <c r="C23" s="124" t="s">
        <v>120</v>
      </c>
      <c r="D23" s="125">
        <f>IF(A23&gt;0,A23*0.25,"")</f>
        <v>593.75</v>
      </c>
      <c r="E23" s="126">
        <f>IF(D23="","",D23/1000)</f>
        <v>0.59375</v>
      </c>
      <c r="F23"/>
      <c r="H23" s="121"/>
      <c r="I23" s="122"/>
    </row>
    <row r="24" spans="1:11">
      <c r="A24" s="128">
        <f>A23/C5</f>
        <v>8.3333333333333332E-3</v>
      </c>
      <c r="C24" s="108"/>
      <c r="E24" s="115"/>
      <c r="I24" s="123"/>
      <c r="J24" s="111"/>
    </row>
    <row r="25" spans="1:11">
      <c r="A25" s="111"/>
      <c r="C25" s="107"/>
      <c r="D25" s="108"/>
      <c r="F25"/>
      <c r="G25"/>
      <c r="H25"/>
      <c r="I25"/>
      <c r="J25"/>
    </row>
    <row r="26" spans="1:11">
      <c r="F26"/>
      <c r="G26"/>
      <c r="H26"/>
      <c r="I26"/>
      <c r="J26"/>
    </row>
    <row r="27" spans="1:11">
      <c r="A27" s="102" t="s">
        <v>111</v>
      </c>
      <c r="E27" s="107"/>
      <c r="F27"/>
      <c r="G27"/>
      <c r="H27"/>
      <c r="I27"/>
      <c r="J27"/>
    </row>
    <row r="28" spans="1:11">
      <c r="A28" s="124" t="s">
        <v>130</v>
      </c>
      <c r="B28" s="125">
        <f>G22*20</f>
        <v>2366.992878073635</v>
      </c>
      <c r="C28" s="126">
        <f>INT(B28/100+0.5)/10</f>
        <v>2.4</v>
      </c>
      <c r="F28"/>
      <c r="G28"/>
      <c r="H28"/>
      <c r="I28"/>
      <c r="J28"/>
    </row>
    <row r="29" spans="1:11">
      <c r="A29" s="124" t="s">
        <v>113</v>
      </c>
      <c r="B29" s="125">
        <f>G22*50</f>
        <v>5917.4821951840877</v>
      </c>
      <c r="C29" s="126">
        <f>INT(B29/100+0.5)/10</f>
        <v>5.9</v>
      </c>
      <c r="F29"/>
      <c r="G29"/>
      <c r="H29"/>
      <c r="I29"/>
      <c r="J29"/>
    </row>
    <row r="30" spans="1:11">
      <c r="A30" s="124"/>
      <c r="B30" s="125"/>
      <c r="C30" s="126"/>
      <c r="F30"/>
      <c r="G30"/>
      <c r="H30"/>
      <c r="I30"/>
      <c r="J30"/>
    </row>
    <row r="31" spans="1:11">
      <c r="F31"/>
      <c r="G31"/>
      <c r="H31"/>
      <c r="I31"/>
      <c r="J31"/>
    </row>
    <row r="32" spans="1:11">
      <c r="F32"/>
      <c r="G32"/>
      <c r="H32"/>
      <c r="I32"/>
      <c r="J32"/>
    </row>
    <row r="33" spans="6:10">
      <c r="F33"/>
      <c r="G33"/>
      <c r="H33"/>
      <c r="I33"/>
      <c r="J33"/>
    </row>
    <row r="34" spans="6:10">
      <c r="F34"/>
      <c r="G34"/>
      <c r="H34"/>
      <c r="I34"/>
      <c r="J34"/>
    </row>
  </sheetData>
  <sheetProtection sheet="1" objects="1" scenarios="1" selectLockedCells="1"/>
  <dataValidations count="1">
    <dataValidation type="list" allowBlank="1" showInputMessage="1" showErrorMessage="1" sqref="H9">
      <formula1>$S$9:$S$10</formula1>
    </dataValidation>
  </dataValidations>
  <pageMargins left="0.75" right="0.75" top="1" bottom="1" header="0.5" footer="0.5"/>
  <pageSetup orientation="portrait" horizontalDpi="4294967292" verticalDpi="4294967292"/>
  <ignoredErrors>
    <ignoredError sqref="K9 C2:C4 C5" emptyCellReference="1"/>
  </ignoredErrors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Dashboard</vt:lpstr>
      <vt:lpstr>Income</vt:lpstr>
      <vt:lpstr>Expenses</vt:lpstr>
      <vt:lpstr>Inventory</vt:lpstr>
      <vt:lpstr>Designs</vt:lpstr>
      <vt:lpstr>Relations</vt:lpstr>
      <vt:lpstr>Recruiting</vt:lpstr>
      <vt:lpstr>Outside Property</vt:lpstr>
      <vt:lpstr>Culture Convert</vt:lpstr>
      <vt:lpstr>Constants</vt:lpstr>
      <vt:lpstr>Notes</vt:lpstr>
      <vt:lpstr>P&amp;P Data</vt:lpstr>
    </vt:vector>
  </TitlesOfParts>
  <Company>Iron Mountain Digital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 Choinski</dc:creator>
  <cp:lastModifiedBy>Burton Choinski</cp:lastModifiedBy>
  <dcterms:created xsi:type="dcterms:W3CDTF">2010-12-29T16:04:41Z</dcterms:created>
  <dcterms:modified xsi:type="dcterms:W3CDTF">2013-05-06T16:06:06Z</dcterms:modified>
</cp:coreProperties>
</file>