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-20" yWindow="0" windowWidth="24540" windowHeight="14440" tabRatio="500"/>
  </bookViews>
  <sheets>
    <sheet name="Dashboard" sheetId="7" r:id="rId1"/>
    <sheet name="Income" sheetId="6" r:id="rId2"/>
    <sheet name="Expenses" sheetId="3" r:id="rId3"/>
    <sheet name="Constants" sheetId="5" r:id="rId4"/>
    <sheet name="Culture Convert" sheetId="8" r:id="rId5"/>
    <sheet name="Notes" sheetId="4" r:id="rId6"/>
  </sheets>
  <externalReferences>
    <externalReference r:id="rId7"/>
  </externalReferences>
  <definedNames>
    <definedName name="ARCHER_PAY">Expenses!$D$4</definedName>
    <definedName name="ARCHERS">Expenses!$J$1</definedName>
    <definedName name="CAVALRY">Expenses!$I$1</definedName>
    <definedName name="CAVALRY_PAY">Expenses!$D$5</definedName>
    <definedName name="CIVILIANS">Dashboard!$A$3</definedName>
    <definedName name="COMPANY">1.25</definedName>
    <definedName name="CROPHEXES">Constants!$A$3</definedName>
    <definedName name="CROPLAND_HEX">Income!$L$2</definedName>
    <definedName name="DWARF_STONE">Constants!$A$15</definedName>
    <definedName name="ENT_BALANCE">Income!$F$3</definedName>
    <definedName name="FARM_MARGIN">Constants!$A$6</definedName>
    <definedName name="FARM_QUALITY">Dashboard!$L$4</definedName>
    <definedName name="FARMER_PAY">Income!$E$5</definedName>
    <definedName name="FARMLAND">Constants!$A$7</definedName>
    <definedName name="FOOD">[1]Info!$F$3</definedName>
    <definedName name="FOOTMEN">Expenses!$H$1</definedName>
    <definedName name="FOREST_HEX">Income!$N$2</definedName>
    <definedName name="FORESTER_WOOD_TONS">Constants!$A$11</definedName>
    <definedName name="GNI">Income!$F$2</definedName>
    <definedName name="GOVPOP">Expenses!$A$1</definedName>
    <definedName name="HERD_INCREASE">Constants!$A$18</definedName>
    <definedName name="HORSE_HERD">Constants!$A$17</definedName>
    <definedName name="HORSES">Income!$J$2</definedName>
    <definedName name="HUNT_MARGIN">Constants!$A$8</definedName>
    <definedName name="HUNTER_PAY">Income!$E$6</definedName>
    <definedName name="HUNTLAND">Constants!$A$9</definedName>
    <definedName name="MINE_QUALITY">Dashboard!$N$4</definedName>
    <definedName name="MINING_VALUE">Constants!$A$13</definedName>
    <definedName name="NONGOVPOP">Dashboard!$C$4</definedName>
    <definedName name="OTHER">Income!$A$16</definedName>
    <definedName name="OWNER">Income!$P$2</definedName>
    <definedName name="PAY">[1]Info!$F$6</definedName>
    <definedName name="QUARRY_TONS">Constants!$A$14</definedName>
    <definedName name="RATIO">Income!$A$22</definedName>
    <definedName name="RATIO1">Income!$A$21</definedName>
    <definedName name="RATIO2">Income!$A$20</definedName>
    <definedName name="RATIO3">Income!$A$19</definedName>
    <definedName name="RESOURCES">Income!$A$7</definedName>
    <definedName name="SCALED_INCOME">Income!$A$23</definedName>
    <definedName name="SCALED_INCOME2">Income!$A$24</definedName>
    <definedName name="SLAVES">Dashboard!$A$6</definedName>
    <definedName name="SMELTING_FUEL">Constants!$A$23</definedName>
    <definedName name="SMELTING_WOOD">Constants!#REF!</definedName>
    <definedName name="STATION1">Income!$E$21</definedName>
    <definedName name="STATION2">Income!$E$20</definedName>
    <definedName name="STATION3">Income!$E$19</definedName>
    <definedName name="STONE">Income!$I$2</definedName>
    <definedName name="STONE_BLOCK">Constants!$A$21</definedName>
    <definedName name="STONE_PER_BLOCK">Constants!$A$21</definedName>
    <definedName name="SUPPORT">Income!$G$2</definedName>
    <definedName name="SUPPORT_COST">Constants!$A$2</definedName>
    <definedName name="TAXRATE">Dashboard!$A$14</definedName>
    <definedName name="THROTTLE">#REF!</definedName>
    <definedName name="TON">2000</definedName>
    <definedName name="TOTALPOP">Dashboard!$A$9</definedName>
    <definedName name="USES">-1</definedName>
    <definedName name="WARRIOR_PAY">Expenses!$D$6</definedName>
    <definedName name="WILDHEXES">Constants!$A$4</definedName>
    <definedName name="WILDS_HEX">Income!$M$2</definedName>
    <definedName name="WOOD">Income!$H$2</definedName>
    <definedName name="WOOD_PER_BLOCK">Constants!$A$20</definedName>
    <definedName name="YEARGOLD">Constants!$A$1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" i="7" l="1"/>
  <c r="I15" i="6"/>
  <c r="P13" i="6"/>
  <c r="G15" i="6"/>
  <c r="G13" i="6"/>
  <c r="G11" i="6"/>
  <c r="N13" i="6"/>
  <c r="N12" i="6"/>
  <c r="A22" i="6"/>
  <c r="B19" i="6"/>
  <c r="B20" i="6"/>
  <c r="B21" i="6"/>
  <c r="C18" i="6"/>
  <c r="C2" i="6"/>
  <c r="G2" i="6"/>
  <c r="F3" i="7"/>
  <c r="B17" i="7"/>
  <c r="F5" i="6"/>
  <c r="A24" i="6"/>
  <c r="D23" i="8"/>
  <c r="A23" i="6"/>
  <c r="D31" i="8"/>
  <c r="D36" i="8"/>
  <c r="F36" i="8"/>
  <c r="A1" i="5"/>
  <c r="F12" i="6"/>
  <c r="P12" i="6"/>
  <c r="F13" i="6"/>
  <c r="P2" i="6"/>
  <c r="H9" i="7"/>
  <c r="A3" i="7"/>
  <c r="C9" i="6"/>
  <c r="C4" i="6"/>
  <c r="A16" i="6"/>
  <c r="C3" i="8"/>
  <c r="A23" i="8"/>
  <c r="C4" i="8"/>
  <c r="C2" i="8"/>
  <c r="C6" i="8"/>
  <c r="C7" i="8"/>
  <c r="A19" i="8"/>
  <c r="C8" i="8"/>
  <c r="C9" i="8"/>
  <c r="E19" i="8"/>
  <c r="C13" i="8"/>
  <c r="I19" i="8"/>
  <c r="A27" i="8"/>
  <c r="D27" i="8"/>
  <c r="A31" i="8"/>
  <c r="A40" i="8"/>
  <c r="D41" i="8"/>
  <c r="D40" i="8"/>
  <c r="C23" i="8"/>
  <c r="C19" i="8"/>
  <c r="G19" i="8"/>
  <c r="C14" i="8"/>
  <c r="K19" i="8"/>
  <c r="C27" i="8"/>
  <c r="A36" i="8"/>
  <c r="A37" i="8"/>
  <c r="C18" i="8"/>
  <c r="G18" i="8"/>
  <c r="K18" i="8"/>
  <c r="H36" i="8"/>
  <c r="C11" i="8"/>
  <c r="F10" i="6"/>
  <c r="F11" i="6"/>
  <c r="F14" i="6"/>
  <c r="F15" i="6"/>
  <c r="F19" i="6"/>
  <c r="F20" i="6"/>
  <c r="F21" i="6"/>
  <c r="B25" i="6"/>
  <c r="F25" i="6"/>
  <c r="F3" i="6"/>
  <c r="F8" i="7"/>
  <c r="H10" i="6"/>
  <c r="H2" i="6"/>
  <c r="G5" i="6"/>
  <c r="G6" i="6"/>
  <c r="F6" i="6"/>
  <c r="F2" i="6"/>
  <c r="C4" i="7"/>
  <c r="A25" i="3"/>
  <c r="A26" i="3"/>
  <c r="A27" i="3"/>
  <c r="A28" i="3"/>
  <c r="A1" i="3"/>
  <c r="C3" i="7"/>
  <c r="N10" i="6"/>
  <c r="N2" i="6"/>
  <c r="L18" i="7"/>
  <c r="M6" i="6"/>
  <c r="M11" i="6"/>
  <c r="M2" i="6"/>
  <c r="L16" i="7"/>
  <c r="L5" i="6"/>
  <c r="L2" i="6"/>
  <c r="L14" i="7"/>
  <c r="C7" i="7"/>
  <c r="F5" i="3"/>
  <c r="F12" i="3"/>
  <c r="F13" i="3"/>
  <c r="F1" i="3"/>
  <c r="H7" i="7"/>
  <c r="J11" i="6"/>
  <c r="J2" i="6"/>
  <c r="I5" i="3"/>
  <c r="I13" i="3"/>
  <c r="I1" i="3"/>
  <c r="I3" i="7"/>
  <c r="B14" i="7"/>
  <c r="C14" i="7"/>
  <c r="E25" i="3"/>
  <c r="E26" i="3"/>
  <c r="E27" i="3"/>
  <c r="E28" i="3"/>
  <c r="E4" i="3"/>
  <c r="E5" i="3"/>
  <c r="E6" i="3"/>
  <c r="E10" i="3"/>
  <c r="E11" i="3"/>
  <c r="E12" i="3"/>
  <c r="E13" i="3"/>
  <c r="E14" i="3"/>
  <c r="E15" i="3"/>
  <c r="E20" i="3"/>
  <c r="E21" i="3"/>
  <c r="E33" i="3"/>
  <c r="E1" i="3"/>
  <c r="I7" i="7"/>
  <c r="A17" i="7"/>
  <c r="C17" i="7"/>
  <c r="A20" i="7"/>
  <c r="G33" i="3"/>
  <c r="H6" i="3"/>
  <c r="H10" i="3"/>
  <c r="H12" i="3"/>
  <c r="H14" i="3"/>
  <c r="H1" i="3"/>
  <c r="F14" i="7"/>
  <c r="G14" i="7"/>
  <c r="J4" i="3"/>
  <c r="J11" i="3"/>
  <c r="J15" i="3"/>
  <c r="J1" i="3"/>
  <c r="H14" i="7"/>
  <c r="F17" i="7"/>
  <c r="R10" i="6"/>
  <c r="T10" i="6"/>
  <c r="R14" i="6"/>
  <c r="T14" i="6"/>
  <c r="I14" i="6"/>
  <c r="G3" i="7"/>
  <c r="A7" i="6"/>
  <c r="R12" i="6"/>
  <c r="I2" i="6"/>
  <c r="H3" i="7"/>
  <c r="R11" i="6"/>
  <c r="A19" i="7"/>
</calcChain>
</file>

<file path=xl/comments1.xml><?xml version="1.0" encoding="utf-8"?>
<comments xmlns="http://schemas.openxmlformats.org/spreadsheetml/2006/main">
  <authors>
    <author>Burton Choinski</author>
  </authors>
  <commentList>
    <comment ref="G2" authorId="0">
      <text>
        <r>
          <rPr>
            <b/>
            <sz val="9"/>
            <color indexed="81"/>
            <rFont val="Calibri"/>
            <family val="2"/>
          </rPr>
          <t>One construction unit is enough to build a single 10x10 structure or two 10x10 roof areas.</t>
        </r>
      </text>
    </comment>
    <comment ref="I3" authorId="0">
      <text>
        <r>
          <rPr>
            <b/>
            <sz val="9"/>
            <color indexed="81"/>
            <rFont val="Calibri"/>
            <family val="2"/>
          </rPr>
          <t>Includes token horses from cavalry.</t>
        </r>
      </text>
    </comment>
    <comment ref="I4" authorId="0">
      <text>
        <r>
          <rPr>
            <b/>
            <sz val="9"/>
            <color indexed="81"/>
            <rFont val="Calibri"/>
            <family val="2"/>
          </rPr>
          <t>Add or subtract from reserves at the end of the year.</t>
        </r>
      </text>
    </comment>
    <comment ref="C7" authorId="0">
      <text>
        <r>
          <rPr>
            <b/>
            <sz val="9"/>
            <color indexed="81"/>
            <rFont val="Calibri"/>
            <family val="2"/>
          </rPr>
          <t>Add to civilian count at end of year.</t>
        </r>
      </text>
    </comment>
  </commentList>
</comments>
</file>

<file path=xl/comments2.xml><?xml version="1.0" encoding="utf-8"?>
<comments xmlns="http://schemas.openxmlformats.org/spreadsheetml/2006/main">
  <authors>
    <author>Burton Choinski</author>
  </authors>
  <commentList>
    <comment ref="A18" authorId="0">
      <text>
        <r>
          <rPr>
            <b/>
            <sz val="9"/>
            <color indexed="81"/>
            <rFont val="Calibri"/>
            <family val="2"/>
          </rPr>
          <t>"shares"  for each income class, default is "1, 5 and 25".</t>
        </r>
      </text>
    </comment>
  </commentList>
</comments>
</file>

<file path=xl/sharedStrings.xml><?xml version="1.0" encoding="utf-8"?>
<sst xmlns="http://schemas.openxmlformats.org/spreadsheetml/2006/main" count="215" uniqueCount="140">
  <si>
    <t>Occupation</t>
  </si>
  <si>
    <t>Station</t>
  </si>
  <si>
    <t>Income</t>
  </si>
  <si>
    <t>Cropland</t>
  </si>
  <si>
    <t>Wilderness</t>
  </si>
  <si>
    <t>Miners</t>
  </si>
  <si>
    <t>Forest</t>
  </si>
  <si>
    <t>Horsebreeders</t>
  </si>
  <si>
    <t>Food Production</t>
  </si>
  <si>
    <t>Total</t>
  </si>
  <si>
    <t>Slaves</t>
  </si>
  <si>
    <t>Tax Rate</t>
  </si>
  <si>
    <t>Owner</t>
  </si>
  <si>
    <t>Support</t>
  </si>
  <si>
    <t>Military</t>
  </si>
  <si>
    <t>Archers/Skirmishers</t>
  </si>
  <si>
    <t>Cavalry</t>
  </si>
  <si>
    <t>Warriors</t>
  </si>
  <si>
    <t>Specialty Military</t>
  </si>
  <si>
    <t>Dwarf Axemen</t>
  </si>
  <si>
    <t>Elf Rangers</t>
  </si>
  <si>
    <t>Hunfrithi Warriors</t>
  </si>
  <si>
    <t>Kazi Horsearchers</t>
  </si>
  <si>
    <t>Novholm Archers</t>
  </si>
  <si>
    <t>Kazi Warriors</t>
  </si>
  <si>
    <t>Government</t>
  </si>
  <si>
    <t>Clerk</t>
  </si>
  <si>
    <t>Regent</t>
  </si>
  <si>
    <t>Minister</t>
  </si>
  <si>
    <t>Executive</t>
  </si>
  <si>
    <t>On-Hand Specialists</t>
  </si>
  <si>
    <t>Specialists</t>
  </si>
  <si>
    <t>Master Specialists</t>
  </si>
  <si>
    <t>Timber</t>
  </si>
  <si>
    <t>Foresters</t>
  </si>
  <si>
    <t>Quarrymen</t>
  </si>
  <si>
    <t>Stone</t>
  </si>
  <si>
    <t>Cropland assumed to be 1/2 fallow.</t>
  </si>
  <si>
    <t>Dwarves produce 50% more value when working with stone, 25% more value when working with metal.</t>
  </si>
  <si>
    <t>Masons can construct 8 "blocks" of stone structure per year (20t of stone each)</t>
  </si>
  <si>
    <t xml:space="preserve">Carpenters can construct 80 "blocks" of wood structure per year (4t of wood each) </t>
  </si>
  <si>
    <t>Child Margin</t>
  </si>
  <si>
    <t>Total Population</t>
  </si>
  <si>
    <t>Mine Owner</t>
  </si>
  <si>
    <t>Population</t>
  </si>
  <si>
    <t>Resources</t>
  </si>
  <si>
    <t>The population requires 5 acres of forest/person to supply fuel for heating and cooking.</t>
  </si>
  <si>
    <t>Smelting requires 20t wood per 1t ore</t>
  </si>
  <si>
    <t>Food Purchase</t>
  </si>
  <si>
    <t>Modifiers</t>
  </si>
  <si>
    <t>Farm Quality</t>
  </si>
  <si>
    <t>Mine Quality</t>
  </si>
  <si>
    <t>Cash Flow</t>
  </si>
  <si>
    <t>Base Farmer Margin</t>
  </si>
  <si>
    <t>Base Hunter Margin</t>
  </si>
  <si>
    <t>Forester Tons of Wood per Year</t>
  </si>
  <si>
    <t>Farmer Acres (Fallow + Active)</t>
  </si>
  <si>
    <t>Hunter Acres</t>
  </si>
  <si>
    <t>Gold per ton</t>
  </si>
  <si>
    <t>Food has a base value of 0.25GC per support point</t>
  </si>
  <si>
    <t>Stone Cut and Dressed for Construction, per quarryman (tons)</t>
  </si>
  <si>
    <t>Dwarf Stone Efficiency</t>
  </si>
  <si>
    <t>Base Value produced per Miner (gold)</t>
  </si>
  <si>
    <t>Horse Herd per Breeder</t>
  </si>
  <si>
    <t>Herd Increase Rate per Year</t>
  </si>
  <si>
    <t>Base cost for 1 support point</t>
  </si>
  <si>
    <t>Gold per horse</t>
  </si>
  <si>
    <t>Pay converted to gold per year</t>
  </si>
  <si>
    <t>Cultivatable acres per hex</t>
  </si>
  <si>
    <t>Usable wilderness acres per hex</t>
  </si>
  <si>
    <t>• A P&amp;P hex is 200,000 acres (5000' per mile, 20 miles across)</t>
  </si>
  <si>
    <t>Civilized Farmer</t>
  </si>
  <si>
    <t>• Sustainable wood gathering is limited to 2t per acre</t>
  </si>
  <si>
    <t>Civilians</t>
  </si>
  <si>
    <t>Key Resources</t>
  </si>
  <si>
    <t>Gold per pound</t>
  </si>
  <si>
    <t>Other</t>
  </si>
  <si>
    <t>Artisans/Merchants</t>
  </si>
  <si>
    <t>Labor</t>
  </si>
  <si>
    <t>Crafters/Services</t>
  </si>
  <si>
    <t>Tons of wood per block of construction</t>
  </si>
  <si>
    <t>Tons of stone per block of construction</t>
  </si>
  <si>
    <t>Timber goes for 0.006GC/ton</t>
  </si>
  <si>
    <t>Barbarian Hunter/Gatherer</t>
  </si>
  <si>
    <t>Wood CU</t>
  </si>
  <si>
    <t>Stone CU</t>
  </si>
  <si>
    <t xml:space="preserve">     Dwarf Quarrymen</t>
  </si>
  <si>
    <t xml:space="preserve">     Dwarf Miners</t>
  </si>
  <si>
    <t>Wood CUs</t>
  </si>
  <si>
    <t>Stone CUs</t>
  </si>
  <si>
    <t>&lt;&lt; Reserves</t>
  </si>
  <si>
    <t>Horses</t>
  </si>
  <si>
    <t>Gold per CU</t>
  </si>
  <si>
    <t>Wintering</t>
  </si>
  <si>
    <t>Care</t>
  </si>
  <si>
    <t>Horse Pool</t>
  </si>
  <si>
    <t>Mule Pool</t>
  </si>
  <si>
    <t>Footmen</t>
  </si>
  <si>
    <t>Archers</t>
  </si>
  <si>
    <t>Government Types</t>
  </si>
  <si>
    <t>Total Military</t>
  </si>
  <si>
    <t>Public Safety</t>
  </si>
  <si>
    <t>Guards/Patrol</t>
  </si>
  <si>
    <t>Other Yearly Expenses</t>
  </si>
  <si>
    <t>tribute to Riala for Fort per year</t>
  </si>
  <si>
    <t>Birth Rate</t>
  </si>
  <si>
    <t>Territory Needs</t>
  </si>
  <si>
    <t>Wilds</t>
  </si>
  <si>
    <t>x4 for badlands, x10 for desert</t>
  </si>
  <si>
    <t>x2 for hills, x4  for mountains or swamp, x10 for plains, x20 for badlands</t>
  </si>
  <si>
    <t>Notes</t>
  </si>
  <si>
    <t>x2 for hills, x4 for mountain, x10 for badlands or desert</t>
  </si>
  <si>
    <t>Hills hexes; 0.42 for crops, 1.24 for timber = 1.66 hexes</t>
  </si>
  <si>
    <t>Miners produce 160# of durable metal, 400# of soft metal, 0.8# of silver or 0.04# of gold per year</t>
  </si>
  <si>
    <t>Raw Numbers</t>
  </si>
  <si>
    <t>City Population</t>
  </si>
  <si>
    <t>&gt;&gt;&gt;</t>
  </si>
  <si>
    <t>Tribal Population</t>
  </si>
  <si>
    <t>Footmen, Elite</t>
  </si>
  <si>
    <t>Cavalry, Elite</t>
  </si>
  <si>
    <t>Militia</t>
  </si>
  <si>
    <t>Warships</t>
  </si>
  <si>
    <t>Heavy Warships</t>
  </si>
  <si>
    <t>Navy</t>
  </si>
  <si>
    <t>Tribal</t>
  </si>
  <si>
    <t>Food</t>
  </si>
  <si>
    <t>Rural</t>
  </si>
  <si>
    <t>Results</t>
  </si>
  <si>
    <t>After Expenses</t>
  </si>
  <si>
    <t>Urban/Remainder</t>
  </si>
  <si>
    <t>After Food Purchase</t>
  </si>
  <si>
    <t>diplomatic point in Treaus</t>
  </si>
  <si>
    <t>Rationing</t>
  </si>
  <si>
    <t>GNI</t>
  </si>
  <si>
    <t>Metal Market:</t>
  </si>
  <si>
    <t>Normal</t>
  </si>
  <si>
    <t>Importer</t>
  </si>
  <si>
    <t>Metal Output Available</t>
  </si>
  <si>
    <t>Durable metal goes for 5bb/pound (200#/GC), 2bb/pound for soft metals;  Silver goes for 100CC/#, Gold goes for 20GC/#</t>
  </si>
  <si>
    <t>Tons of wood per miner (smelting)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</si>
</sst>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\b\/\d\a\y"/>
    <numFmt numFmtId="165" formatCode="#,##0.00\ \h\e\x"/>
    <numFmt numFmtId="166" formatCode="#,##0\G\C"/>
    <numFmt numFmtId="167" formatCode="#,##0\ \a\c\r\e\s"/>
    <numFmt numFmtId="168" formatCode="\x#,##0.00"/>
    <numFmt numFmtId="169" formatCode="#,##0\:\1"/>
    <numFmt numFmtId="170" formatCode="\+#,##0\/\y\r"/>
    <numFmt numFmtId="171" formatCode="\(0.00\S\C\)"/>
    <numFmt numFmtId="172" formatCode="#,##0\ ?/?"/>
  </numFmts>
  <fonts count="4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0"/>
      <color theme="1"/>
      <name val="Abadi MT Condensed Extra Bold"/>
    </font>
    <font>
      <sz val="12"/>
      <color theme="3" tint="-0.499984740745262"/>
      <name val="Abadi MT Condensed Extra Bold"/>
    </font>
    <font>
      <i/>
      <sz val="10"/>
      <color theme="0" tint="-0.14999847407452621"/>
      <name val="Calibri"/>
      <scheme val="minor"/>
    </font>
    <font>
      <i/>
      <sz val="10"/>
      <color theme="0" tint="-0.249977111117893"/>
      <name val="Calibri"/>
      <scheme val="minor"/>
    </font>
    <font>
      <sz val="14"/>
      <color theme="1"/>
      <name val="Abadi MT Condensed Extra Bold"/>
    </font>
    <font>
      <sz val="14"/>
      <color theme="9" tint="-0.499984740745262"/>
      <name val="Abadi MT Condensed Extra Bold"/>
    </font>
    <font>
      <sz val="20"/>
      <color theme="5" tint="-0.499984740745262"/>
      <name val="Abadi MT Condensed Extra Bold"/>
    </font>
    <font>
      <sz val="14"/>
      <color theme="6" tint="-0.499984740745262"/>
      <name val="Abadi MT Condensed Extra Bold"/>
    </font>
    <font>
      <b/>
      <sz val="12"/>
      <color theme="9" tint="-0.249977111117893"/>
      <name val="Calibri"/>
      <scheme val="minor"/>
    </font>
    <font>
      <b/>
      <sz val="12"/>
      <color theme="6" tint="-0.249977111117893"/>
      <name val="Calibri"/>
      <scheme val="minor"/>
    </font>
    <font>
      <sz val="14"/>
      <color theme="8" tint="-0.499984740745262"/>
      <name val="Abadi MT Condensed Extra Bold"/>
    </font>
    <font>
      <b/>
      <sz val="12"/>
      <color theme="8" tint="-0.249977111117893"/>
      <name val="Calibri"/>
      <scheme val="minor"/>
    </font>
    <font>
      <sz val="10"/>
      <color theme="1" tint="0.14999847407452621"/>
      <name val="Calibri"/>
      <scheme val="minor"/>
    </font>
    <font>
      <i/>
      <sz val="8"/>
      <color theme="1"/>
      <name val="Calibri"/>
      <scheme val="minor"/>
    </font>
    <font>
      <b/>
      <sz val="24"/>
      <color indexed="21"/>
      <name val="Verdana"/>
    </font>
    <font>
      <b/>
      <sz val="20"/>
      <color theme="1"/>
      <name val="Calibri"/>
      <scheme val="minor"/>
    </font>
    <font>
      <sz val="12"/>
      <color theme="0"/>
      <name val="Calibri"/>
      <family val="2"/>
      <scheme val="minor"/>
    </font>
    <font>
      <b/>
      <sz val="20"/>
      <color rgb="FF660066"/>
      <name val="Calibri"/>
      <scheme val="minor"/>
    </font>
    <font>
      <b/>
      <sz val="9"/>
      <color indexed="81"/>
      <name val="Calibri"/>
      <family val="2"/>
    </font>
    <font>
      <b/>
      <i/>
      <sz val="12"/>
      <color theme="1"/>
      <name val="Calibri"/>
      <scheme val="minor"/>
    </font>
    <font>
      <sz val="12"/>
      <color theme="1"/>
      <name val="Abadi MT Condensed Extra Bold"/>
    </font>
    <font>
      <i/>
      <sz val="12"/>
      <color theme="1"/>
      <name val="Abadi MT Condensed Extra Bold"/>
    </font>
    <font>
      <sz val="14"/>
      <color rgb="FF000000"/>
      <name val="Abadi MT Condensed Extra Bold"/>
    </font>
    <font>
      <b/>
      <sz val="20"/>
      <color theme="9" tint="-0.499984740745262"/>
      <name val="Calibri"/>
      <scheme val="minor"/>
    </font>
    <font>
      <b/>
      <sz val="12"/>
      <color theme="1"/>
      <name val="Abadi MT Condensed Extra Bold"/>
    </font>
    <font>
      <i/>
      <sz val="10"/>
      <color theme="1"/>
      <name val="Calibri"/>
      <scheme val="minor"/>
    </font>
    <font>
      <i/>
      <sz val="8"/>
      <name val="Verdana"/>
    </font>
    <font>
      <sz val="12"/>
      <color theme="2" tint="-0.499984740745262"/>
      <name val="Abadi MT Condensed Extra Bold"/>
    </font>
    <font>
      <i/>
      <sz val="9"/>
      <color theme="1"/>
      <name val="Calibri"/>
      <scheme val="minor"/>
    </font>
    <font>
      <i/>
      <sz val="12"/>
      <color rgb="FFFF0000"/>
      <name val="Calibri"/>
      <scheme val="minor"/>
    </font>
    <font>
      <b/>
      <sz val="14"/>
      <color indexed="21"/>
      <name val="Verdana"/>
    </font>
    <font>
      <b/>
      <i/>
      <sz val="8"/>
      <color theme="4" tint="-0.249977111117893"/>
      <name val="Verdana"/>
    </font>
    <font>
      <b/>
      <i/>
      <sz val="10"/>
      <color indexed="62"/>
      <name val="Verdana"/>
    </font>
    <font>
      <b/>
      <sz val="14"/>
      <color indexed="12"/>
      <name val="Verdana"/>
    </font>
    <font>
      <b/>
      <i/>
      <sz val="8"/>
      <color theme="0" tint="-0.499984740745262"/>
      <name val="Verdana"/>
    </font>
    <font>
      <b/>
      <i/>
      <sz val="8"/>
      <color rgb="FF808080"/>
      <name val="Verdana"/>
    </font>
    <font>
      <i/>
      <sz val="10"/>
      <color theme="0" tint="-0.499984740745262"/>
      <name val="Calibri"/>
      <scheme val="minor"/>
    </font>
    <font>
      <b/>
      <sz val="12"/>
      <color rgb="FF660066"/>
      <name val="Calibri"/>
      <scheme val="minor"/>
    </font>
    <font>
      <i/>
      <sz val="9"/>
      <color theme="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hair">
        <color theme="0" tint="-4.9989318521683403E-2"/>
      </bottom>
      <diagonal/>
    </border>
    <border>
      <left style="hair">
        <color theme="0" tint="-0.14999847407452621"/>
      </left>
      <right/>
      <top style="hair">
        <color theme="0" tint="-0.14999847407452621"/>
      </top>
      <bottom/>
      <diagonal/>
    </border>
    <border>
      <left/>
      <right/>
      <top style="hair">
        <color theme="0" tint="-0.14999847407452621"/>
      </top>
      <bottom/>
      <diagonal/>
    </border>
    <border>
      <left/>
      <right style="hair">
        <color theme="0" tint="-0.14999847407452621"/>
      </right>
      <top style="hair">
        <color theme="0" tint="-0.14999847407452621"/>
      </top>
      <bottom/>
      <diagonal/>
    </border>
    <border>
      <left style="hair">
        <color theme="0" tint="-0.14999847407452621"/>
      </left>
      <right/>
      <top/>
      <bottom/>
      <diagonal/>
    </border>
    <border>
      <left/>
      <right style="hair">
        <color theme="0" tint="-0.14999847407452621"/>
      </right>
      <top/>
      <bottom/>
      <diagonal/>
    </border>
    <border>
      <left style="hair">
        <color theme="0" tint="-0.14999847407452621"/>
      </left>
      <right/>
      <top/>
      <bottom style="hair">
        <color theme="0" tint="-0.14999847407452621"/>
      </bottom>
      <diagonal/>
    </border>
    <border>
      <left/>
      <right/>
      <top/>
      <bottom style="hair">
        <color theme="0" tint="-0.14999847407452621"/>
      </bottom>
      <diagonal/>
    </border>
    <border>
      <left/>
      <right style="hair">
        <color theme="0" tint="-0.14999847407452621"/>
      </right>
      <top/>
      <bottom style="hair">
        <color theme="0" tint="-0.14999847407452621"/>
      </bottom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/>
      <right/>
      <top style="hair">
        <color theme="0" tint="-0.249977111117893"/>
      </top>
      <bottom/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/>
      <bottom/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 tint="-0.249977111117893"/>
      </left>
      <right/>
      <top/>
      <bottom style="hair">
        <color theme="0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 tint="-0.249977111117893"/>
      </left>
      <right style="hair">
        <color theme="0"/>
      </right>
      <top style="hair">
        <color theme="0"/>
      </top>
      <bottom style="hair">
        <color theme="0" tint="-0.249977111117893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 tint="-0.249977111117893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5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5" fillId="2" borderId="18">
      <alignment horizontal="center" vertical="center"/>
      <protection locked="0"/>
    </xf>
    <xf numFmtId="164" fontId="6" fillId="0" borderId="0">
      <alignment horizontal="center"/>
    </xf>
    <xf numFmtId="0" fontId="7" fillId="0" borderId="0">
      <alignment horizontal="center" vertical="center"/>
    </xf>
    <xf numFmtId="165" fontId="8" fillId="0" borderId="0">
      <alignment horizont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12" fillId="0" borderId="0"/>
    <xf numFmtId="3" fontId="13" fillId="0" borderId="0"/>
    <xf numFmtId="3" fontId="15" fillId="0" borderId="0"/>
    <xf numFmtId="167" fontId="16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8" fontId="1" fillId="0" borderId="0">
      <alignment horizont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0" fontId="5" fillId="2" borderId="1">
      <alignment horizont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8" fontId="5" fillId="2" borderId="18">
      <alignment horizontal="center" vertical="center"/>
      <protection locked="0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36" fillId="0" borderId="0"/>
    <xf numFmtId="9" fontId="37" fillId="4" borderId="26">
      <alignment horizontal="center"/>
      <protection locked="0"/>
    </xf>
    <xf numFmtId="171" fontId="3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0" fontId="4" fillId="0" borderId="0" xfId="63"/>
    <xf numFmtId="0" fontId="1" fillId="0" borderId="0" xfId="0" applyFont="1"/>
    <xf numFmtId="3" fontId="5" fillId="2" borderId="18" xfId="66">
      <alignment horizontal="center" vertical="center"/>
      <protection locked="0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67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68">
      <alignment horizontal="center" vertical="center"/>
    </xf>
    <xf numFmtId="165" fontId="8" fillId="0" borderId="0" xfId="0" applyNumberFormat="1" applyFont="1" applyAlignment="1">
      <alignment horizontal="center"/>
    </xf>
    <xf numFmtId="165" fontId="8" fillId="0" borderId="0" xfId="69">
      <alignment horizontal="center"/>
    </xf>
    <xf numFmtId="166" fontId="9" fillId="0" borderId="0" xfId="0" applyNumberFormat="1" applyFont="1" applyAlignment="1">
      <alignment horizontal="center"/>
    </xf>
    <xf numFmtId="0" fontId="10" fillId="0" borderId="0" xfId="0" applyFont="1"/>
    <xf numFmtId="3" fontId="11" fillId="0" borderId="0" xfId="0" applyNumberFormat="1" applyFont="1" applyAlignment="1">
      <alignment horizontal="center"/>
    </xf>
    <xf numFmtId="166" fontId="12" fillId="0" borderId="0" xfId="0" applyNumberFormat="1" applyFont="1"/>
    <xf numFmtId="166" fontId="12" fillId="0" borderId="0" xfId="72"/>
    <xf numFmtId="3" fontId="13" fillId="0" borderId="0" xfId="0" applyNumberFormat="1" applyFont="1"/>
    <xf numFmtId="3" fontId="13" fillId="0" borderId="0" xfId="73"/>
    <xf numFmtId="0" fontId="14" fillId="0" borderId="0" xfId="0" applyFont="1" applyAlignment="1">
      <alignment horizontal="center"/>
    </xf>
    <xf numFmtId="3" fontId="15" fillId="0" borderId="0" xfId="74"/>
    <xf numFmtId="167" fontId="16" fillId="0" borderId="0" xfId="75"/>
    <xf numFmtId="168" fontId="0" fillId="0" borderId="0" xfId="0" applyNumberFormat="1" applyAlignment="1">
      <alignment horizontal="center"/>
    </xf>
    <xf numFmtId="0" fontId="17" fillId="0" borderId="0" xfId="0" applyFont="1"/>
    <xf numFmtId="0" fontId="18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6" fontId="12" fillId="0" borderId="0" xfId="72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6" fontId="12" fillId="0" borderId="5" xfId="72" applyBorder="1" applyAlignment="1">
      <alignment horizontal="center"/>
    </xf>
    <xf numFmtId="166" fontId="12" fillId="0" borderId="6" xfId="72" applyBorder="1" applyAlignment="1">
      <alignment horizontal="center"/>
    </xf>
    <xf numFmtId="3" fontId="13" fillId="0" borderId="0" xfId="73" applyAlignment="1">
      <alignment horizontal="center"/>
    </xf>
    <xf numFmtId="3" fontId="15" fillId="0" borderId="0" xfId="74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3" fontId="1" fillId="0" borderId="14" xfId="164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8" fontId="1" fillId="0" borderId="0" xfId="219">
      <alignment horizontal="center"/>
    </xf>
    <xf numFmtId="168" fontId="1" fillId="0" borderId="0" xfId="219" applyFill="1">
      <alignment horizontal="center"/>
    </xf>
    <xf numFmtId="3" fontId="0" fillId="0" borderId="0" xfId="0" applyNumberFormat="1"/>
    <xf numFmtId="3" fontId="1" fillId="0" borderId="0" xfId="164" applyAlignment="1">
      <alignment horizontal="center"/>
    </xf>
    <xf numFmtId="3" fontId="7" fillId="0" borderId="0" xfId="68" applyNumberFormat="1">
      <alignment horizontal="center" vertical="center"/>
    </xf>
    <xf numFmtId="3" fontId="21" fillId="0" borderId="0" xfId="164" applyFont="1" applyAlignment="1">
      <alignment horizontal="center"/>
    </xf>
    <xf numFmtId="3" fontId="20" fillId="0" borderId="0" xfId="0" applyNumberFormat="1" applyFont="1"/>
    <xf numFmtId="168" fontId="5" fillId="2" borderId="18" xfId="66" applyNumberFormat="1">
      <alignment horizontal="center" vertical="center"/>
      <protection locked="0"/>
    </xf>
    <xf numFmtId="168" fontId="5" fillId="2" borderId="18" xfId="333">
      <alignment horizontal="center" vertical="center"/>
      <protection locked="0"/>
    </xf>
    <xf numFmtId="3" fontId="13" fillId="0" borderId="0" xfId="0" applyNumberFormat="1" applyFont="1" applyAlignment="1">
      <alignment horizontal="center"/>
    </xf>
    <xf numFmtId="169" fontId="5" fillId="2" borderId="18" xfId="333" applyNumberFormat="1">
      <alignment horizontal="center" vertical="center"/>
      <protection locked="0"/>
    </xf>
    <xf numFmtId="0" fontId="20" fillId="0" borderId="0" xfId="0" applyNumberFormat="1" applyFont="1"/>
    <xf numFmtId="3" fontId="14" fillId="0" borderId="0" xfId="0" applyNumberFormat="1" applyFont="1" applyAlignment="1">
      <alignment horizontal="center"/>
    </xf>
    <xf numFmtId="0" fontId="8" fillId="0" borderId="19" xfId="0" applyFont="1" applyBorder="1" applyAlignment="1">
      <alignment horizontal="center"/>
    </xf>
    <xf numFmtId="3" fontId="5" fillId="2" borderId="21" xfId="66" applyBorder="1" applyAlignment="1">
      <alignment horizontal="center"/>
      <protection locked="0"/>
    </xf>
    <xf numFmtId="3" fontId="5" fillId="2" borderId="18" xfId="66" applyBorder="1">
      <alignment horizontal="center" vertical="center"/>
      <protection locked="0"/>
    </xf>
    <xf numFmtId="3" fontId="21" fillId="0" borderId="20" xfId="164" applyFont="1" applyBorder="1" applyAlignment="1">
      <alignment horizontal="center"/>
    </xf>
    <xf numFmtId="0" fontId="23" fillId="0" borderId="0" xfId="0" applyFont="1"/>
    <xf numFmtId="166" fontId="25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3" fontId="13" fillId="0" borderId="13" xfId="73" applyBorder="1" applyAlignment="1">
      <alignment horizontal="center"/>
    </xf>
    <xf numFmtId="3" fontId="15" fillId="0" borderId="0" xfId="74" applyBorder="1" applyAlignment="1">
      <alignment horizontal="center"/>
    </xf>
    <xf numFmtId="3" fontId="5" fillId="2" borderId="21" xfId="66" applyBorder="1">
      <alignment horizontal="center" vertical="center"/>
      <protection locked="0"/>
    </xf>
    <xf numFmtId="0" fontId="8" fillId="0" borderId="14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3" fontId="1" fillId="0" borderId="0" xfId="164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3" fontId="5" fillId="2" borderId="22" xfId="66" applyBorder="1">
      <alignment horizontal="center" vertical="center"/>
      <protection locked="0"/>
    </xf>
    <xf numFmtId="3" fontId="5" fillId="2" borderId="23" xfId="66" applyBorder="1">
      <alignment horizontal="center" vertical="center"/>
      <protection locked="0"/>
    </xf>
    <xf numFmtId="3" fontId="13" fillId="0" borderId="16" xfId="73" applyBorder="1" applyAlignment="1">
      <alignment horizontal="center"/>
    </xf>
    <xf numFmtId="166" fontId="12" fillId="0" borderId="17" xfId="72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5" fillId="2" borderId="18" xfId="66" applyAlignment="1">
      <alignment horizontal="center" vertical="center"/>
      <protection locked="0"/>
    </xf>
    <xf numFmtId="0" fontId="20" fillId="0" borderId="14" xfId="0" applyFont="1" applyBorder="1"/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3" fontId="1" fillId="0" borderId="13" xfId="164" applyBorder="1" applyAlignment="1">
      <alignment horizontal="center"/>
    </xf>
    <xf numFmtId="166" fontId="5" fillId="2" borderId="18" xfId="66" applyNumberFormat="1">
      <alignment horizontal="center" vertical="center"/>
      <protection locked="0"/>
    </xf>
    <xf numFmtId="0" fontId="0" fillId="0" borderId="0" xfId="0" quotePrefix="1" applyProtection="1">
      <protection locked="0"/>
    </xf>
    <xf numFmtId="0" fontId="28" fillId="0" borderId="6" xfId="0" applyFont="1" applyBorder="1" applyAlignment="1">
      <alignment horizontal="center"/>
    </xf>
    <xf numFmtId="10" fontId="5" fillId="2" borderId="1" xfId="284">
      <alignment horizontal="center"/>
    </xf>
    <xf numFmtId="166" fontId="12" fillId="0" borderId="14" xfId="72" applyBorder="1" applyAlignment="1">
      <alignment horizontal="center"/>
    </xf>
    <xf numFmtId="0" fontId="24" fillId="0" borderId="14" xfId="0" applyFont="1" applyBorder="1" applyAlignment="1">
      <alignment horizontal="center"/>
    </xf>
    <xf numFmtId="170" fontId="29" fillId="0" borderId="14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/>
    <xf numFmtId="0" fontId="24" fillId="0" borderId="10" xfId="0" applyFont="1" applyBorder="1" applyAlignment="1">
      <alignment horizontal="center"/>
    </xf>
    <xf numFmtId="165" fontId="31" fillId="0" borderId="13" xfId="69" applyFont="1" applyBorder="1">
      <alignment horizontal="center"/>
    </xf>
    <xf numFmtId="0" fontId="24" fillId="0" borderId="13" xfId="0" applyFont="1" applyBorder="1" applyAlignment="1">
      <alignment horizontal="center"/>
    </xf>
    <xf numFmtId="0" fontId="1" fillId="0" borderId="13" xfId="0" applyFont="1" applyBorder="1"/>
    <xf numFmtId="0" fontId="34" fillId="0" borderId="0" xfId="0" applyFont="1"/>
    <xf numFmtId="3" fontId="1" fillId="0" borderId="0" xfId="164"/>
    <xf numFmtId="3" fontId="35" fillId="0" borderId="24" xfId="164" applyFont="1" applyBorder="1" applyProtection="1">
      <protection locked="0"/>
    </xf>
    <xf numFmtId="0" fontId="0" fillId="0" borderId="25" xfId="0" applyBorder="1"/>
    <xf numFmtId="166" fontId="36" fillId="0" borderId="0" xfId="502"/>
    <xf numFmtId="0" fontId="32" fillId="0" borderId="0" xfId="0" applyFont="1" applyAlignment="1">
      <alignment horizontal="right"/>
    </xf>
    <xf numFmtId="166" fontId="0" fillId="0" borderId="0" xfId="0" applyNumberFormat="1"/>
    <xf numFmtId="0" fontId="1" fillId="0" borderId="0" xfId="0" applyFont="1" applyAlignment="1">
      <alignment horizontal="center"/>
    </xf>
    <xf numFmtId="3" fontId="38" fillId="0" borderId="0" xfId="164" applyFont="1" applyAlignment="1">
      <alignment vertical="top"/>
    </xf>
    <xf numFmtId="9" fontId="37" fillId="4" borderId="26" xfId="503" applyAlignment="1">
      <alignment horizontal="center"/>
      <protection locked="0"/>
    </xf>
    <xf numFmtId="3" fontId="39" fillId="0" borderId="0" xfId="0" applyNumberFormat="1" applyFont="1" applyAlignment="1">
      <alignment vertical="top"/>
    </xf>
    <xf numFmtId="166" fontId="12" fillId="0" borderId="0" xfId="72" applyAlignment="1">
      <alignment horizontal="center"/>
    </xf>
    <xf numFmtId="172" fontId="41" fillId="0" borderId="0" xfId="219" applyNumberFormat="1" applyFont="1">
      <alignment horizontal="center"/>
    </xf>
    <xf numFmtId="10" fontId="40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42" fillId="0" borderId="0" xfId="0" applyFont="1"/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32" fillId="3" borderId="13" xfId="0" applyFont="1" applyFill="1" applyBorder="1" applyAlignment="1" applyProtection="1">
      <alignment horizontal="left" vertical="top" wrapText="1"/>
      <protection locked="0"/>
    </xf>
    <xf numFmtId="0" fontId="32" fillId="3" borderId="0" xfId="0" applyFont="1" applyFill="1" applyBorder="1" applyAlignment="1" applyProtection="1">
      <alignment horizontal="left" vertical="top" wrapText="1"/>
      <protection locked="0"/>
    </xf>
    <xf numFmtId="0" fontId="32" fillId="3" borderId="14" xfId="0" applyFont="1" applyFill="1" applyBorder="1" applyAlignment="1" applyProtection="1">
      <alignment horizontal="left" vertical="top" wrapText="1"/>
      <protection locked="0"/>
    </xf>
    <xf numFmtId="0" fontId="32" fillId="3" borderId="15" xfId="0" applyFont="1" applyFill="1" applyBorder="1" applyAlignment="1" applyProtection="1">
      <alignment horizontal="left" vertical="top" wrapText="1"/>
      <protection locked="0"/>
    </xf>
    <xf numFmtId="0" fontId="32" fillId="3" borderId="16" xfId="0" applyFont="1" applyFill="1" applyBorder="1" applyAlignment="1" applyProtection="1">
      <alignment horizontal="left" vertical="top" wrapText="1"/>
      <protection locked="0"/>
    </xf>
    <xf numFmtId="0" fontId="32" fillId="3" borderId="17" xfId="0" applyFont="1" applyFill="1" applyBorder="1" applyAlignment="1" applyProtection="1">
      <alignment horizontal="left" vertical="top" wrapText="1"/>
      <protection locked="0"/>
    </xf>
    <xf numFmtId="166" fontId="27" fillId="0" borderId="7" xfId="72" applyFont="1" applyBorder="1" applyAlignment="1">
      <alignment horizontal="center"/>
    </xf>
    <xf numFmtId="166" fontId="27" fillId="0" borderId="8" xfId="72" applyFont="1" applyBorder="1" applyAlignment="1">
      <alignment horizontal="center"/>
    </xf>
    <xf numFmtId="166" fontId="27" fillId="0" borderId="9" xfId="72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3" fontId="19" fillId="0" borderId="15" xfId="164" applyFont="1" applyBorder="1" applyAlignment="1">
      <alignment horizontal="center"/>
    </xf>
    <xf numFmtId="3" fontId="19" fillId="0" borderId="16" xfId="164" applyFont="1" applyBorder="1" applyAlignment="1">
      <alignment horizontal="center"/>
    </xf>
    <xf numFmtId="3" fontId="19" fillId="0" borderId="17" xfId="164" applyFont="1" applyBorder="1" applyAlignment="1">
      <alignment horizontal="center"/>
    </xf>
    <xf numFmtId="0" fontId="33" fillId="0" borderId="11" xfId="0" applyFont="1" applyBorder="1" applyAlignment="1">
      <alignment horizontal="center" vertical="center"/>
    </xf>
  </cellXfs>
  <cellStyles count="551">
    <cellStyle name="Acres" xfId="75"/>
    <cellStyle name="Class" xfId="63"/>
    <cellStyle name="Count" xfId="66"/>
    <cellStyle name="Entry %" xfId="284"/>
    <cellStyle name="Entry x" xfId="333"/>
    <cellStyle name="Entry2" xfId="50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5" builtinId="9" hidden="1"/>
    <cellStyle name="Followed Hyperlink" xfId="71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od" xfId="73"/>
    <cellStyle name="GNI" xfId="504"/>
    <cellStyle name="Gold" xfId="72"/>
    <cellStyle name="Hexes" xfId="69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4" builtinId="8" hidden="1"/>
    <cellStyle name="Hyperlink" xfId="70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Income" xfId="67"/>
    <cellStyle name="Label" xfId="68"/>
    <cellStyle name="Normal" xfId="0" builtinId="0"/>
    <cellStyle name="Population" xfId="164"/>
    <cellStyle name="Quality" xfId="219"/>
    <cellStyle name="Timber" xfId="74"/>
    <cellStyle name="Tithe" xfId="50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amp;P/New%20Cultur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shboard"/>
      <sheetName val="Production"/>
      <sheetName val="Crafting &amp; Trade"/>
      <sheetName val="Expenses"/>
      <sheetName val="Convert"/>
      <sheetName val="Info"/>
    </sheetNames>
    <sheetDataSet>
      <sheetData sheetId="0"/>
      <sheetData sheetId="1"/>
      <sheetData sheetId="2"/>
      <sheetData sheetId="3"/>
      <sheetData sheetId="4"/>
      <sheetData sheetId="5">
        <row r="3">
          <cell r="F3">
            <v>0.25</v>
          </cell>
        </row>
        <row r="6">
          <cell r="F6">
            <v>0.36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8" tint="0.39997558519241921"/>
  </sheetPr>
  <dimension ref="A1:P27"/>
  <sheetViews>
    <sheetView showGridLines="0" tabSelected="1" workbookViewId="0">
      <selection activeCell="J12" sqref="J12"/>
    </sheetView>
  </sheetViews>
  <sheetFormatPr baseColWidth="10" defaultRowHeight="15" x14ac:dyDescent="0"/>
  <cols>
    <col min="1" max="1" width="16.5" customWidth="1"/>
    <col min="2" max="2" width="19" customWidth="1"/>
    <col min="3" max="3" width="13.83203125" customWidth="1"/>
    <col min="4" max="4" width="12.83203125" customWidth="1"/>
    <col min="6" max="6" width="14.5" customWidth="1"/>
    <col min="7" max="7" width="13.33203125" customWidth="1"/>
    <col min="9" max="9" width="14.5" customWidth="1"/>
    <col min="12" max="12" width="13.6640625" customWidth="1"/>
    <col min="13" max="13" width="14.33203125" customWidth="1"/>
  </cols>
  <sheetData>
    <row r="1" spans="1:16" ht="30">
      <c r="A1" s="24" t="s">
        <v>44</v>
      </c>
      <c r="F1" s="24" t="s">
        <v>45</v>
      </c>
      <c r="L1" s="24" t="s">
        <v>49</v>
      </c>
    </row>
    <row r="2" spans="1:16" ht="17">
      <c r="A2" s="38" t="s">
        <v>73</v>
      </c>
      <c r="B2" s="39" t="s">
        <v>41</v>
      </c>
      <c r="C2" s="40" t="s">
        <v>25</v>
      </c>
      <c r="F2" s="38" t="s">
        <v>13</v>
      </c>
      <c r="G2" s="39" t="s">
        <v>88</v>
      </c>
      <c r="H2" s="39" t="s">
        <v>89</v>
      </c>
      <c r="I2" s="40" t="s">
        <v>91</v>
      </c>
    </row>
    <row r="3" spans="1:16" ht="17">
      <c r="A3" s="60">
        <f>7571</f>
        <v>7571</v>
      </c>
      <c r="B3" s="54">
        <v>0.15</v>
      </c>
      <c r="C3" s="41">
        <f>GOVPOP</f>
        <v>1204.8057920000001</v>
      </c>
      <c r="F3" s="66">
        <f>SUPPORT+Expenses!F1+H7</f>
        <v>-4492.8057920000001</v>
      </c>
      <c r="G3" s="67">
        <f>WOOD</f>
        <v>6150</v>
      </c>
      <c r="H3" s="67">
        <f>STONE</f>
        <v>45</v>
      </c>
      <c r="I3" s="41">
        <f>HORSES+INT(CAVALRY*0.02)</f>
        <v>14</v>
      </c>
      <c r="L3" s="25" t="s">
        <v>50</v>
      </c>
      <c r="N3" s="26" t="s">
        <v>51</v>
      </c>
    </row>
    <row r="4" spans="1:16" ht="17">
      <c r="A4" s="42"/>
      <c r="B4" s="29"/>
      <c r="C4" s="80">
        <f>CIVILIANS+CIVILIANS*B3+SLAVES</f>
        <v>8706.65</v>
      </c>
      <c r="F4" s="68">
        <v>0</v>
      </c>
      <c r="G4" s="61">
        <v>0</v>
      </c>
      <c r="H4" s="61">
        <v>40000</v>
      </c>
      <c r="I4" s="69" t="s">
        <v>90</v>
      </c>
      <c r="L4" s="53">
        <v>1</v>
      </c>
      <c r="N4" s="54">
        <v>1.5</v>
      </c>
    </row>
    <row r="5" spans="1:16" ht="17">
      <c r="A5" s="59" t="s">
        <v>10</v>
      </c>
      <c r="B5" s="29"/>
      <c r="C5" s="90" t="s">
        <v>105</v>
      </c>
      <c r="F5" s="42"/>
      <c r="G5" s="29"/>
      <c r="H5" s="29"/>
      <c r="I5" s="43"/>
    </row>
    <row r="6" spans="1:16" ht="17">
      <c r="A6" s="4">
        <v>0</v>
      </c>
      <c r="B6" s="29"/>
      <c r="C6" s="88">
        <v>0.01</v>
      </c>
      <c r="F6" s="70" t="s">
        <v>95</v>
      </c>
      <c r="G6" s="72" t="s">
        <v>96</v>
      </c>
      <c r="H6" s="65" t="s">
        <v>93</v>
      </c>
      <c r="I6" s="73" t="s">
        <v>94</v>
      </c>
    </row>
    <row r="7" spans="1:16">
      <c r="A7" s="42"/>
      <c r="B7" s="29"/>
      <c r="C7" s="91">
        <f>CIVILIANS*C6</f>
        <v>75.710000000000008</v>
      </c>
      <c r="F7" s="74">
        <v>20</v>
      </c>
      <c r="G7" s="75">
        <v>450</v>
      </c>
      <c r="H7" s="76">
        <f>(F7+G7)*USES</f>
        <v>-470</v>
      </c>
      <c r="I7" s="77">
        <f>(F7+G7)/50*1*YEARGOLD</f>
        <v>3.3839999999999999</v>
      </c>
    </row>
    <row r="8" spans="1:16" ht="24">
      <c r="A8" s="130" t="s">
        <v>42</v>
      </c>
      <c r="B8" s="128"/>
      <c r="C8" s="131"/>
      <c r="F8" s="135" t="str">
        <f>IF(ENT_BALANCE &lt; 0, "Must import goods and services (" &amp; INT(ENT_BALANCE+0.5) &amp; "GC)","")</f>
        <v/>
      </c>
      <c r="G8" s="135"/>
      <c r="H8" s="135"/>
      <c r="I8" s="135"/>
    </row>
    <row r="9" spans="1:16" ht="25">
      <c r="A9" s="132">
        <f>A3+A3*B3+C3+A6</f>
        <v>9911.4557920000007</v>
      </c>
      <c r="B9" s="133"/>
      <c r="C9" s="134"/>
      <c r="F9" s="3" t="s">
        <v>137</v>
      </c>
      <c r="H9" s="16">
        <f>OWNER+(Income!F12+Income!F13)*TAXRATE</f>
        <v>1933.68</v>
      </c>
    </row>
    <row r="12" spans="1:16" ht="30">
      <c r="A12" s="24" t="s">
        <v>52</v>
      </c>
      <c r="F12" s="24" t="s">
        <v>14</v>
      </c>
      <c r="L12" s="24" t="s">
        <v>106</v>
      </c>
    </row>
    <row r="13" spans="1:16" ht="17" customHeight="1">
      <c r="A13" s="28" t="s">
        <v>11</v>
      </c>
      <c r="B13" s="44" t="s">
        <v>2</v>
      </c>
      <c r="C13" s="45" t="s">
        <v>43</v>
      </c>
      <c r="F13" s="81" t="s">
        <v>97</v>
      </c>
      <c r="G13" s="82" t="s">
        <v>16</v>
      </c>
      <c r="H13" s="83" t="s">
        <v>98</v>
      </c>
      <c r="L13" s="94" t="s">
        <v>3</v>
      </c>
      <c r="M13" s="114" t="s">
        <v>111</v>
      </c>
      <c r="N13" s="115"/>
      <c r="O13" s="92"/>
      <c r="P13" s="93"/>
    </row>
    <row r="14" spans="1:16">
      <c r="A14" s="88">
        <v>0.2</v>
      </c>
      <c r="B14" s="27">
        <f>GNI*TAXRATE+OWNER*TAXRATE</f>
        <v>1013.9636756756757</v>
      </c>
      <c r="C14" s="35">
        <f>OWNER-OWNER*TAXRATE</f>
        <v>1409.2800000000002</v>
      </c>
      <c r="F14" s="84">
        <f>FOOTMEN</f>
        <v>817</v>
      </c>
      <c r="G14" s="71">
        <f>CAVALRY</f>
        <v>230</v>
      </c>
      <c r="H14" s="41">
        <f>ARCHERS</f>
        <v>72</v>
      </c>
      <c r="L14" s="95">
        <f>CROPLAND_HEX</f>
        <v>0.2112</v>
      </c>
      <c r="M14" s="116"/>
      <c r="N14" s="117"/>
    </row>
    <row r="15" spans="1:16" ht="15" customHeight="1">
      <c r="A15" s="31"/>
      <c r="B15" s="29"/>
      <c r="C15" s="30"/>
      <c r="F15" s="42"/>
      <c r="G15" s="29"/>
      <c r="H15" s="43"/>
      <c r="L15" s="96" t="s">
        <v>107</v>
      </c>
      <c r="M15" s="116" t="s">
        <v>108</v>
      </c>
      <c r="N15" s="117"/>
      <c r="O15" s="92"/>
      <c r="P15" s="93"/>
    </row>
    <row r="16" spans="1:16" ht="24">
      <c r="A16" s="32" t="s">
        <v>25</v>
      </c>
      <c r="B16" s="33" t="s">
        <v>48</v>
      </c>
      <c r="C16" s="87" t="s">
        <v>76</v>
      </c>
      <c r="F16" s="130" t="s">
        <v>100</v>
      </c>
      <c r="G16" s="128"/>
      <c r="H16" s="131"/>
      <c r="L16" s="95">
        <f>WILDS_HEX</f>
        <v>5.7142857142857147E-4</v>
      </c>
      <c r="M16" s="116"/>
      <c r="N16" s="117"/>
    </row>
    <row r="17" spans="1:16" ht="25" customHeight="1">
      <c r="A17" s="34">
        <f>-1*Expenses!E1-I7</f>
        <v>-1825.5812759999999</v>
      </c>
      <c r="B17" s="27">
        <f>IF(F4+F3&lt;0, (F3+F4)*SUPPORT_COST*1.25,0)</f>
        <v>-1404.00181</v>
      </c>
      <c r="C17" s="89">
        <f>SUM(F21:F27)*USES</f>
        <v>-160</v>
      </c>
      <c r="F17" s="132">
        <f>F14+G14+H14</f>
        <v>1119</v>
      </c>
      <c r="G17" s="133"/>
      <c r="H17" s="134"/>
      <c r="L17" s="96" t="s">
        <v>6</v>
      </c>
      <c r="M17" s="116" t="s">
        <v>109</v>
      </c>
      <c r="N17" s="117"/>
      <c r="O17" s="92"/>
      <c r="P17" s="93"/>
    </row>
    <row r="18" spans="1:16">
      <c r="A18" s="31"/>
      <c r="B18" s="29"/>
      <c r="C18" s="30"/>
      <c r="L18" s="95">
        <f>FOREST_HEX+(TOTALPOP*5/WILDHEXES)</f>
        <v>0.50954159405714283</v>
      </c>
      <c r="M18" s="116"/>
      <c r="N18" s="117"/>
    </row>
    <row r="19" spans="1:16" ht="24">
      <c r="A19" s="127" t="str">
        <f>IF(A20&lt;0,"Net Loss","Net Income")</f>
        <v>Net Loss</v>
      </c>
      <c r="B19" s="128"/>
      <c r="C19" s="129"/>
      <c r="L19" s="97" t="s">
        <v>110</v>
      </c>
      <c r="M19" s="29"/>
      <c r="N19" s="43"/>
    </row>
    <row r="20" spans="1:16" ht="30">
      <c r="A20" s="124">
        <f>B14+C14+A17+B17+C17</f>
        <v>-966.33941032432381</v>
      </c>
      <c r="B20" s="125"/>
      <c r="C20" s="126"/>
      <c r="F20" s="24" t="s">
        <v>103</v>
      </c>
      <c r="L20" s="118" t="s">
        <v>112</v>
      </c>
      <c r="M20" s="119"/>
      <c r="N20" s="120"/>
    </row>
    <row r="21" spans="1:16">
      <c r="F21" s="85">
        <v>140</v>
      </c>
      <c r="G21" s="86" t="s">
        <v>104</v>
      </c>
      <c r="L21" s="118"/>
      <c r="M21" s="119"/>
      <c r="N21" s="120"/>
    </row>
    <row r="22" spans="1:16">
      <c r="B22" s="16"/>
      <c r="F22" s="85">
        <v>20</v>
      </c>
      <c r="G22" s="86" t="s">
        <v>131</v>
      </c>
      <c r="L22" s="118"/>
      <c r="M22" s="119"/>
      <c r="N22" s="120"/>
    </row>
    <row r="23" spans="1:16">
      <c r="A23" t="s">
        <v>132</v>
      </c>
      <c r="F23" s="85"/>
      <c r="G23" s="86"/>
      <c r="L23" s="121"/>
      <c r="M23" s="122"/>
      <c r="N23" s="123"/>
    </row>
    <row r="24" spans="1:16">
      <c r="A24">
        <v>0</v>
      </c>
      <c r="F24" s="85"/>
      <c r="G24" s="86"/>
    </row>
    <row r="25" spans="1:16">
      <c r="F25" s="85"/>
      <c r="G25" s="86"/>
    </row>
    <row r="26" spans="1:16">
      <c r="F26" s="85"/>
      <c r="G26" s="86"/>
    </row>
    <row r="27" spans="1:16">
      <c r="F27" s="85"/>
      <c r="G27" s="86"/>
    </row>
  </sheetData>
  <sheetProtection sheet="1" objects="1" scenarios="1"/>
  <mergeCells count="11">
    <mergeCell ref="A8:C8"/>
    <mergeCell ref="A9:C9"/>
    <mergeCell ref="F16:H16"/>
    <mergeCell ref="F17:H17"/>
    <mergeCell ref="F8:I8"/>
    <mergeCell ref="M13:N14"/>
    <mergeCell ref="M17:N18"/>
    <mergeCell ref="M15:N16"/>
    <mergeCell ref="L20:N23"/>
    <mergeCell ref="A20:C20"/>
    <mergeCell ref="A19:C19"/>
  </mergeCells>
  <conditionalFormatting sqref="A19">
    <cfRule type="expression" dxfId="0" priority="2">
      <formula>IF($A$20&lt;0,1,0)</formula>
    </cfRule>
  </conditionalFormatting>
  <pageMargins left="0.75" right="0.75" top="1" bottom="1" header="0.5" footer="0.5"/>
  <ignoredErrors>
    <ignoredError sqref="A3" unlockedFormula="1"/>
    <ignoredError sqref="C17" emptyCellReferenc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6" tint="0.39997558519241921"/>
  </sheetPr>
  <dimension ref="A1:U36"/>
  <sheetViews>
    <sheetView showGridLines="0" workbookViewId="0">
      <selection activeCell="A10" sqref="A10"/>
    </sheetView>
  </sheetViews>
  <sheetFormatPr baseColWidth="10" defaultRowHeight="15" x14ac:dyDescent="0"/>
  <cols>
    <col min="2" max="2" width="11.6640625" customWidth="1"/>
    <col min="3" max="3" width="28.1640625" customWidth="1"/>
    <col min="4" max="5" width="10.83203125" style="5"/>
    <col min="8" max="8" width="14.1640625" customWidth="1"/>
    <col min="9" max="10" width="12.1640625" customWidth="1"/>
    <col min="11" max="11" width="9.6640625" customWidth="1"/>
    <col min="12" max="12" width="11.5" bestFit="1" customWidth="1"/>
    <col min="15" max="15" width="3.5" customWidth="1"/>
  </cols>
  <sheetData>
    <row r="1" spans="1:21">
      <c r="F1" s="9" t="s">
        <v>9</v>
      </c>
      <c r="G1" s="8" t="s">
        <v>13</v>
      </c>
      <c r="H1" s="9" t="s">
        <v>84</v>
      </c>
      <c r="I1" s="9" t="s">
        <v>85</v>
      </c>
      <c r="J1" s="9" t="s">
        <v>91</v>
      </c>
      <c r="K1" s="9"/>
      <c r="L1" s="9" t="s">
        <v>3</v>
      </c>
      <c r="M1" s="9" t="s">
        <v>4</v>
      </c>
      <c r="N1" s="9" t="s">
        <v>6</v>
      </c>
      <c r="O1" s="9"/>
      <c r="P1" s="9" t="s">
        <v>12</v>
      </c>
    </row>
    <row r="2" spans="1:21" ht="26">
      <c r="A2" s="46"/>
      <c r="B2" s="13"/>
      <c r="C2" s="62">
        <f>C4+C9+C18</f>
        <v>7571</v>
      </c>
      <c r="F2" s="12">
        <f>SUM(F5:F25)</f>
        <v>3308.218378378378</v>
      </c>
      <c r="G2" s="14">
        <f>SUM(G5:G25)-C2</f>
        <v>-2571</v>
      </c>
      <c r="H2" s="58">
        <f>SUM(H5:H25)</f>
        <v>6150</v>
      </c>
      <c r="I2" s="58">
        <f>SUM(I5:I515)</f>
        <v>45</v>
      </c>
      <c r="J2" s="58">
        <f>SUM(J5:J515)</f>
        <v>10</v>
      </c>
      <c r="K2" s="19"/>
      <c r="L2" s="10">
        <f>SUM(L5:L515)/CROPHEXES</f>
        <v>0.2112</v>
      </c>
      <c r="M2" s="11">
        <f>SUM(M5:M515)/WILDHEXES</f>
        <v>5.7142857142857147E-4</v>
      </c>
      <c r="N2" s="11">
        <f>SUM(N5:N515)/WILDHEXES</f>
        <v>0.22635714285714287</v>
      </c>
      <c r="O2" s="11"/>
      <c r="P2" s="12">
        <f>SUM(P5:P515)</f>
        <v>1761.6000000000001</v>
      </c>
    </row>
    <row r="3" spans="1:21">
      <c r="F3" s="64">
        <f>(F10+F11+F12+F13+F14+F15)-(F19+F20+F21+F25)</f>
        <v>336.42162162162163</v>
      </c>
    </row>
    <row r="4" spans="1:21" ht="26">
      <c r="A4" s="1" t="s">
        <v>8</v>
      </c>
      <c r="B4" s="1"/>
      <c r="C4" s="51">
        <f>A5+A6</f>
        <v>4224</v>
      </c>
    </row>
    <row r="5" spans="1:21">
      <c r="A5" s="4">
        <v>4224</v>
      </c>
      <c r="B5" s="49"/>
      <c r="C5" s="3" t="s">
        <v>71</v>
      </c>
      <c r="D5" s="5">
        <v>1</v>
      </c>
      <c r="E5" s="6">
        <v>1</v>
      </c>
      <c r="F5" s="15">
        <f>E5*A5*YEARGOLD</f>
        <v>1520.6399999999999</v>
      </c>
      <c r="G5" s="55">
        <f>A5*FARM_MARGIN*FARM_QUALITY</f>
        <v>5280</v>
      </c>
      <c r="L5" s="21">
        <f>A5*FARMLAND</f>
        <v>21120</v>
      </c>
      <c r="M5" s="21"/>
      <c r="N5" s="21"/>
      <c r="O5" s="21"/>
      <c r="R5" s="48"/>
    </row>
    <row r="6" spans="1:21">
      <c r="A6" s="4">
        <v>0</v>
      </c>
      <c r="B6" s="49"/>
      <c r="C6" s="3" t="s">
        <v>83</v>
      </c>
      <c r="D6" s="5">
        <v>1</v>
      </c>
      <c r="E6" s="7">
        <v>1</v>
      </c>
      <c r="F6" s="16">
        <f>E6*A6*YEARGOLD</f>
        <v>0</v>
      </c>
      <c r="G6" s="36">
        <f>A6*HUNT_MARGIN</f>
        <v>0</v>
      </c>
      <c r="L6" s="21"/>
      <c r="M6" s="21">
        <f>A6*HUNTLAND</f>
        <v>0</v>
      </c>
      <c r="N6" s="21"/>
      <c r="O6" s="21"/>
    </row>
    <row r="7" spans="1:21">
      <c r="A7" s="52">
        <f>CIVILIANS-C4</f>
        <v>3347</v>
      </c>
      <c r="B7" s="50"/>
      <c r="C7" s="9"/>
      <c r="D7" s="9" t="s">
        <v>1</v>
      </c>
      <c r="E7" s="9" t="s">
        <v>2</v>
      </c>
      <c r="F7" s="8" t="s">
        <v>9</v>
      </c>
      <c r="G7" s="8" t="s">
        <v>13</v>
      </c>
      <c r="H7" s="9"/>
      <c r="I7" s="9"/>
      <c r="J7" s="9"/>
      <c r="K7" s="8"/>
      <c r="L7" s="8" t="s">
        <v>3</v>
      </c>
      <c r="M7" s="8" t="s">
        <v>4</v>
      </c>
      <c r="N7" s="8"/>
      <c r="O7" s="8"/>
    </row>
    <row r="9" spans="1:21" ht="26">
      <c r="A9" s="2" t="s">
        <v>74</v>
      </c>
      <c r="C9" s="51">
        <f>INT(A10+A11+A12+A15+0.9)</f>
        <v>2031</v>
      </c>
    </row>
    <row r="10" spans="1:21">
      <c r="A10" s="4">
        <v>410</v>
      </c>
      <c r="C10" s="3" t="s">
        <v>34</v>
      </c>
      <c r="D10" s="5">
        <v>1</v>
      </c>
      <c r="E10" s="7">
        <v>1</v>
      </c>
      <c r="F10" s="16">
        <f t="shared" ref="F10:F15" si="0">E10*A10*YEARGOLD</f>
        <v>147.6</v>
      </c>
      <c r="G10" s="36"/>
      <c r="H10" s="37">
        <f>A10*FORESTER_WOOD_TONS/WOOD_PER_BLOCK</f>
        <v>6150</v>
      </c>
      <c r="I10" s="20"/>
      <c r="J10" s="20"/>
      <c r="K10" s="20"/>
      <c r="N10" s="21">
        <f>A10*FORESTER_WOOD_TONS/2</f>
        <v>12300</v>
      </c>
      <c r="R10" s="23">
        <f>(E10*YEARGOLD)/FORESTER_WOOD_TONS</f>
        <v>6.0000000000000001E-3</v>
      </c>
      <c r="S10" s="23" t="s">
        <v>58</v>
      </c>
      <c r="T10" s="23">
        <f>R10*4</f>
        <v>2.4E-2</v>
      </c>
      <c r="U10" s="23" t="s">
        <v>92</v>
      </c>
    </row>
    <row r="11" spans="1:21">
      <c r="A11" s="4">
        <v>1</v>
      </c>
      <c r="C11" s="3" t="s">
        <v>7</v>
      </c>
      <c r="D11" s="5">
        <v>1</v>
      </c>
      <c r="E11" s="7">
        <v>50</v>
      </c>
      <c r="F11" s="16">
        <f t="shared" si="0"/>
        <v>18</v>
      </c>
      <c r="G11" s="36">
        <f>USES*A11*HORSE_HERD</f>
        <v>-50</v>
      </c>
      <c r="H11" s="20"/>
      <c r="I11" s="20"/>
      <c r="J11" s="37">
        <f>A11*10</f>
        <v>10</v>
      </c>
      <c r="K11" s="20"/>
      <c r="L11" s="21"/>
      <c r="M11" s="21">
        <f>A11*HORSE_HERD*2</f>
        <v>100</v>
      </c>
      <c r="N11" s="21"/>
      <c r="O11" s="21"/>
      <c r="R11" s="23">
        <f>(E11*YEARGOLD+HORSE_HERD*0.96*SUPPORT_COST)/HERD_INCREASE</f>
        <v>3</v>
      </c>
      <c r="S11" s="23" t="s">
        <v>66</v>
      </c>
    </row>
    <row r="12" spans="1:21">
      <c r="A12" s="4">
        <v>1570</v>
      </c>
      <c r="C12" s="3" t="s">
        <v>5</v>
      </c>
      <c r="D12" s="5">
        <v>1</v>
      </c>
      <c r="E12" s="7">
        <v>1</v>
      </c>
      <c r="F12" s="16">
        <f t="shared" si="0"/>
        <v>565.19999999999993</v>
      </c>
      <c r="G12" s="36"/>
      <c r="H12" s="37"/>
      <c r="I12" s="20"/>
      <c r="J12" s="20"/>
      <c r="K12" s="20"/>
      <c r="L12" s="21"/>
      <c r="M12" s="21"/>
      <c r="N12" s="21">
        <f>A12*SMELTING_FUEL/2</f>
        <v>19625</v>
      </c>
      <c r="O12" s="21"/>
      <c r="P12" s="16">
        <f>A12*MINING_VALUE*MINE_QUALITY-F12</f>
        <v>1318.8000000000002</v>
      </c>
      <c r="Q12" s="22"/>
      <c r="R12" s="23">
        <f>MINING_VALUE/80</f>
        <v>0.01</v>
      </c>
      <c r="S12" s="23" t="s">
        <v>75</v>
      </c>
    </row>
    <row r="13" spans="1:21">
      <c r="A13" s="4">
        <v>410</v>
      </c>
      <c r="C13" s="63" t="s">
        <v>87</v>
      </c>
      <c r="D13" s="5">
        <v>1</v>
      </c>
      <c r="E13" s="7">
        <v>2</v>
      </c>
      <c r="F13" s="16">
        <f t="shared" si="0"/>
        <v>295.2</v>
      </c>
      <c r="G13" s="36">
        <f>USES*A13/2</f>
        <v>-205</v>
      </c>
      <c r="H13" s="37"/>
      <c r="I13" s="20"/>
      <c r="J13" s="20"/>
      <c r="K13" s="20"/>
      <c r="L13" s="21"/>
      <c r="M13" s="21"/>
      <c r="N13" s="21">
        <f>A13*SMELTING_FUEL*1.5/2</f>
        <v>7687.5</v>
      </c>
      <c r="O13" s="21"/>
      <c r="P13" s="16">
        <f>A13*MINING_VALUE*MINE_QUALITY*DWARF_STONE-F13</f>
        <v>442.8</v>
      </c>
      <c r="Q13" s="22"/>
      <c r="R13" s="23"/>
      <c r="S13" s="23"/>
    </row>
    <row r="14" spans="1:21">
      <c r="A14" s="4">
        <v>0</v>
      </c>
      <c r="C14" s="3" t="s">
        <v>35</v>
      </c>
      <c r="D14" s="5">
        <v>1</v>
      </c>
      <c r="E14" s="7">
        <v>1</v>
      </c>
      <c r="F14" s="16">
        <f t="shared" si="0"/>
        <v>0</v>
      </c>
      <c r="G14" s="36"/>
      <c r="H14" s="37"/>
      <c r="I14" s="37">
        <f>A14*QUARRY_TONS/STONE_PER_BLOCK</f>
        <v>0</v>
      </c>
      <c r="J14" s="37"/>
      <c r="K14" s="20"/>
      <c r="L14" s="21"/>
      <c r="M14" s="21"/>
      <c r="N14" s="21"/>
      <c r="O14" s="21"/>
      <c r="P14" s="16"/>
      <c r="Q14" s="22"/>
      <c r="R14" s="23">
        <f>(E14*YEARGOLD)/QUARRY_TONS</f>
        <v>0.03</v>
      </c>
      <c r="S14" s="23" t="s">
        <v>58</v>
      </c>
      <c r="T14" s="23">
        <f>R14*20</f>
        <v>0.6</v>
      </c>
      <c r="U14" s="23" t="s">
        <v>92</v>
      </c>
    </row>
    <row r="15" spans="1:21">
      <c r="A15" s="4">
        <v>50</v>
      </c>
      <c r="C15" s="63" t="s">
        <v>86</v>
      </c>
      <c r="D15" s="5">
        <v>1</v>
      </c>
      <c r="E15" s="7">
        <v>2</v>
      </c>
      <c r="F15" s="16">
        <f t="shared" si="0"/>
        <v>36</v>
      </c>
      <c r="G15" s="36">
        <f>USES*A15/2</f>
        <v>-25</v>
      </c>
      <c r="H15" s="20"/>
      <c r="I15" s="37">
        <f>A15*QUARRY_TONS*DWARF_STONE/STONE_PER_BLOCK</f>
        <v>45</v>
      </c>
      <c r="J15" s="37"/>
      <c r="K15" s="20"/>
      <c r="N15" s="21"/>
    </row>
    <row r="16" spans="1:21">
      <c r="A16" s="52">
        <f>CIVILIANS-C9-C4</f>
        <v>1316</v>
      </c>
      <c r="B16" s="50"/>
      <c r="C16" s="9"/>
      <c r="D16" s="9" t="s">
        <v>1</v>
      </c>
      <c r="E16" s="9" t="s">
        <v>2</v>
      </c>
      <c r="F16" s="9" t="s">
        <v>9</v>
      </c>
      <c r="G16" s="8" t="s">
        <v>13</v>
      </c>
      <c r="H16" s="9" t="s">
        <v>33</v>
      </c>
      <c r="I16" s="9" t="s">
        <v>36</v>
      </c>
      <c r="J16" s="9"/>
      <c r="K16" s="9"/>
      <c r="L16" s="9"/>
      <c r="M16" s="9" t="s">
        <v>4</v>
      </c>
      <c r="N16" s="9" t="s">
        <v>6</v>
      </c>
      <c r="O16" s="9"/>
      <c r="P16" s="9" t="s">
        <v>12</v>
      </c>
      <c r="Q16" s="9"/>
    </row>
    <row r="18" spans="1:15" ht="26">
      <c r="A18" s="2" t="s">
        <v>76</v>
      </c>
      <c r="C18" s="51">
        <f>INT(B19+B20+B21+0.9)</f>
        <v>1316</v>
      </c>
    </row>
    <row r="19" spans="1:15">
      <c r="A19" s="56">
        <v>1</v>
      </c>
      <c r="B19" s="49">
        <f>OTHER*(A19/RATIO)</f>
        <v>11.855855855855856</v>
      </c>
      <c r="C19" s="3" t="s">
        <v>77</v>
      </c>
      <c r="D19" s="5">
        <v>3</v>
      </c>
      <c r="E19" s="7">
        <v>20</v>
      </c>
      <c r="F19" s="16">
        <f t="shared" ref="F19:F20" si="1">E19*B19*YEARGOLD</f>
        <v>85.362162162162164</v>
      </c>
      <c r="G19" s="18"/>
      <c r="H19" s="20"/>
      <c r="I19" s="20"/>
      <c r="J19" s="20"/>
      <c r="K19" s="20"/>
      <c r="L19" s="21"/>
      <c r="M19" s="21"/>
      <c r="N19" s="21"/>
      <c r="O19" s="21"/>
    </row>
    <row r="20" spans="1:15">
      <c r="A20" s="56">
        <v>10</v>
      </c>
      <c r="B20" s="49">
        <f>OTHER*(A20/RATIO)</f>
        <v>118.55855855855856</v>
      </c>
      <c r="C20" s="3" t="s">
        <v>79</v>
      </c>
      <c r="D20" s="5">
        <v>2</v>
      </c>
      <c r="E20" s="7">
        <v>5</v>
      </c>
      <c r="F20" s="16">
        <f t="shared" si="1"/>
        <v>213.40540540540542</v>
      </c>
      <c r="G20" s="18"/>
      <c r="H20" s="20"/>
      <c r="I20" s="20"/>
      <c r="J20" s="20"/>
      <c r="K20" s="20"/>
      <c r="L20" s="21"/>
      <c r="M20" s="21"/>
      <c r="N20" s="21"/>
      <c r="O20" s="21"/>
    </row>
    <row r="21" spans="1:15">
      <c r="A21" s="56">
        <v>100</v>
      </c>
      <c r="B21" s="49">
        <f>OTHER*(A21/RATIO)</f>
        <v>1185.5855855855857</v>
      </c>
      <c r="C21" s="3" t="s">
        <v>78</v>
      </c>
      <c r="D21" s="5">
        <v>1</v>
      </c>
      <c r="E21" s="7">
        <v>1</v>
      </c>
      <c r="F21" s="16">
        <f>E21*B21*YEARGOLD</f>
        <v>426.81081081081084</v>
      </c>
      <c r="G21" s="18"/>
      <c r="H21" s="20"/>
      <c r="I21" s="20"/>
      <c r="J21" s="20"/>
      <c r="K21" s="20"/>
      <c r="L21" s="21"/>
      <c r="M21" s="21"/>
      <c r="N21" s="21"/>
      <c r="O21" s="21"/>
    </row>
    <row r="22" spans="1:15">
      <c r="A22" s="57">
        <f>SUM(A19:A21)</f>
        <v>111</v>
      </c>
      <c r="D22" s="9" t="s">
        <v>1</v>
      </c>
      <c r="E22" s="9" t="s">
        <v>2</v>
      </c>
      <c r="F22" s="9" t="s">
        <v>9</v>
      </c>
    </row>
    <row r="23" spans="1:15">
      <c r="A23" s="113">
        <f>(RATIO3*STATION3+RATIO2*STATION2+RATIO1*STATION1)/RATIO</f>
        <v>1.5315315315315314</v>
      </c>
      <c r="C23" s="9"/>
      <c r="G23" s="8"/>
      <c r="H23" s="9"/>
      <c r="I23" s="9"/>
      <c r="J23" s="9"/>
      <c r="K23" s="9"/>
      <c r="L23" s="9"/>
      <c r="M23" s="9"/>
      <c r="N23" s="9"/>
      <c r="O23" s="9"/>
    </row>
    <row r="24" spans="1:15">
      <c r="A24" s="113">
        <f>(RATIO2*STATION2+RATIO1*STATION1)/(RATIO2+RATIO1)</f>
        <v>1.3636363636363635</v>
      </c>
      <c r="D24"/>
      <c r="E24"/>
    </row>
    <row r="25" spans="1:15">
      <c r="B25" s="49">
        <f>SLAVES</f>
        <v>0</v>
      </c>
      <c r="C25" s="3" t="s">
        <v>10</v>
      </c>
      <c r="D25" s="5">
        <v>0</v>
      </c>
      <c r="E25" s="7">
        <v>0.5</v>
      </c>
      <c r="F25" s="16">
        <f>E25*B25*YEARGOLD</f>
        <v>0</v>
      </c>
      <c r="G25" s="18"/>
      <c r="H25" s="20"/>
      <c r="I25" s="20"/>
      <c r="J25" s="20"/>
      <c r="K25" s="20"/>
      <c r="L25" s="21"/>
      <c r="M25" s="21"/>
      <c r="N25" s="21"/>
      <c r="O25" s="21"/>
    </row>
    <row r="26" spans="1:15">
      <c r="D26" s="9" t="s">
        <v>1</v>
      </c>
      <c r="E26" s="9" t="s">
        <v>2</v>
      </c>
      <c r="F26" s="9" t="s">
        <v>9</v>
      </c>
    </row>
    <row r="27" spans="1:15">
      <c r="D27"/>
      <c r="E27"/>
    </row>
    <row r="28" spans="1:15">
      <c r="D28"/>
      <c r="E28"/>
    </row>
    <row r="29" spans="1:15">
      <c r="D29"/>
      <c r="E29"/>
    </row>
    <row r="30" spans="1:15">
      <c r="D30"/>
      <c r="E30"/>
    </row>
    <row r="31" spans="1:15">
      <c r="D31"/>
      <c r="E31"/>
    </row>
    <row r="32" spans="1:15">
      <c r="D32"/>
      <c r="E32"/>
    </row>
    <row r="33" spans="4:5">
      <c r="D33"/>
      <c r="E33"/>
    </row>
    <row r="34" spans="4:5">
      <c r="D34"/>
      <c r="E34"/>
    </row>
    <row r="35" spans="4:5">
      <c r="D35"/>
      <c r="E35"/>
    </row>
    <row r="36" spans="4:5">
      <c r="D36"/>
      <c r="E36"/>
    </row>
  </sheetData>
  <sheetProtection sheet="1" objects="1" scenarios="1"/>
  <pageMargins left="0.75" right="0.75" top="1" bottom="1" header="0.5" footer="0.5"/>
  <pageSetup orientation="portrait" horizontalDpi="4294967292" verticalDpi="4294967292"/>
  <ignoredErrors>
    <ignoredError sqref="H2 P2 L2:N2 F2 I2:J2" emptyCellReference="1"/>
    <ignoredError sqref="G2" formula="1" emptyCellReferenc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39997558519241921"/>
  </sheetPr>
  <dimension ref="A1:M33"/>
  <sheetViews>
    <sheetView showGridLines="0" workbookViewId="0">
      <selection activeCell="A25" sqref="A25"/>
    </sheetView>
  </sheetViews>
  <sheetFormatPr baseColWidth="10" defaultRowHeight="15" x14ac:dyDescent="0"/>
  <cols>
    <col min="2" max="2" width="19.33203125" customWidth="1"/>
  </cols>
  <sheetData>
    <row r="1" spans="1:13" ht="24">
      <c r="A1" s="13">
        <f>SUM(A4:A514)</f>
        <v>1204.8057920000001</v>
      </c>
      <c r="C1" s="5"/>
      <c r="D1" s="5"/>
      <c r="E1" s="12">
        <f>SUM(E4:E514)</f>
        <v>1822.1972759999999</v>
      </c>
      <c r="F1" s="14">
        <f>SUM(F4:F514)-A1</f>
        <v>-1451.8057920000001</v>
      </c>
      <c r="G1" s="19"/>
      <c r="H1" s="14">
        <f>SUM(H4:H514)</f>
        <v>817</v>
      </c>
      <c r="I1" s="14">
        <f>SUM(I4:I514)</f>
        <v>230</v>
      </c>
      <c r="J1" s="14">
        <f>SUM(J4:J514)</f>
        <v>72</v>
      </c>
      <c r="K1" s="11"/>
      <c r="L1" s="11"/>
      <c r="M1" s="12"/>
    </row>
    <row r="2" spans="1:13">
      <c r="C2" s="5"/>
      <c r="D2" s="5"/>
    </row>
    <row r="3" spans="1:13" ht="24">
      <c r="A3" s="1" t="s">
        <v>14</v>
      </c>
      <c r="C3" s="5"/>
      <c r="D3" s="5"/>
    </row>
    <row r="4" spans="1:13">
      <c r="A4" s="4">
        <v>0</v>
      </c>
      <c r="B4" s="3" t="s">
        <v>15</v>
      </c>
      <c r="C4" s="5">
        <v>1</v>
      </c>
      <c r="D4" s="6">
        <v>2</v>
      </c>
      <c r="E4" s="15">
        <f>D4*A4*YEARGOLD*COMPANY</f>
        <v>0</v>
      </c>
      <c r="F4" s="17"/>
      <c r="H4" s="49"/>
      <c r="I4" s="49"/>
      <c r="J4" s="49">
        <f>A4</f>
        <v>0</v>
      </c>
      <c r="L4" s="21"/>
    </row>
    <row r="5" spans="1:13">
      <c r="A5" s="4">
        <v>130</v>
      </c>
      <c r="B5" s="3" t="s">
        <v>16</v>
      </c>
      <c r="C5" s="5">
        <v>1</v>
      </c>
      <c r="D5" s="7">
        <v>4</v>
      </c>
      <c r="E5" s="16">
        <f>D5*A5*YEARGOLD*COMPANY</f>
        <v>234</v>
      </c>
      <c r="F5" s="36">
        <f>-1*A5</f>
        <v>-130</v>
      </c>
      <c r="H5" s="49"/>
      <c r="I5" s="49">
        <f>A5</f>
        <v>130</v>
      </c>
      <c r="J5" s="49"/>
      <c r="L5" s="21"/>
    </row>
    <row r="6" spans="1:13">
      <c r="A6" s="4">
        <v>600</v>
      </c>
      <c r="B6" s="3" t="s">
        <v>17</v>
      </c>
      <c r="C6" s="5">
        <v>1</v>
      </c>
      <c r="D6" s="7">
        <v>2</v>
      </c>
      <c r="E6" s="16">
        <f>D6*A6*YEARGOLD*COMPANY</f>
        <v>540</v>
      </c>
      <c r="F6" s="18"/>
      <c r="H6" s="49">
        <f>A6</f>
        <v>600</v>
      </c>
      <c r="I6" s="49"/>
      <c r="J6" s="49"/>
      <c r="L6" s="21"/>
    </row>
    <row r="7" spans="1:13">
      <c r="B7" s="9"/>
      <c r="C7" s="9" t="s">
        <v>1</v>
      </c>
      <c r="D7" s="9" t="s">
        <v>2</v>
      </c>
      <c r="E7" s="8" t="s">
        <v>9</v>
      </c>
      <c r="F7" s="8" t="s">
        <v>13</v>
      </c>
      <c r="G7" s="8"/>
      <c r="H7" s="8" t="s">
        <v>97</v>
      </c>
      <c r="I7" s="8" t="s">
        <v>16</v>
      </c>
      <c r="J7" s="8" t="s">
        <v>98</v>
      </c>
      <c r="L7" s="8"/>
    </row>
    <row r="9" spans="1:13" ht="24">
      <c r="A9" s="1" t="s">
        <v>18</v>
      </c>
      <c r="C9" s="5"/>
      <c r="D9" s="5"/>
    </row>
    <row r="10" spans="1:13">
      <c r="A10" s="4">
        <v>200</v>
      </c>
      <c r="B10" s="3" t="s">
        <v>19</v>
      </c>
      <c r="C10" s="5">
        <v>1</v>
      </c>
      <c r="D10" s="6">
        <v>3</v>
      </c>
      <c r="E10" s="15">
        <f t="shared" ref="E10:E15" si="0">D10*A10*YEARGOLD*COMPANY</f>
        <v>270</v>
      </c>
      <c r="F10" s="17"/>
      <c r="H10" s="49">
        <f>A10</f>
        <v>200</v>
      </c>
      <c r="I10" s="49"/>
      <c r="J10" s="49"/>
    </row>
    <row r="11" spans="1:13">
      <c r="A11" s="4">
        <v>47</v>
      </c>
      <c r="B11" s="3" t="s">
        <v>20</v>
      </c>
      <c r="C11" s="5">
        <v>1</v>
      </c>
      <c r="D11" s="7">
        <v>3</v>
      </c>
      <c r="E11" s="16">
        <f t="shared" si="0"/>
        <v>63.449999999999996</v>
      </c>
      <c r="F11" s="18"/>
      <c r="H11" s="49"/>
      <c r="I11" s="49"/>
      <c r="J11" s="49">
        <f>A11</f>
        <v>47</v>
      </c>
    </row>
    <row r="12" spans="1:13">
      <c r="A12" s="4">
        <v>17</v>
      </c>
      <c r="B12" s="3" t="s">
        <v>21</v>
      </c>
      <c r="C12" s="5">
        <v>1</v>
      </c>
      <c r="D12" s="7">
        <v>4</v>
      </c>
      <c r="E12" s="16">
        <f t="shared" si="0"/>
        <v>30.6</v>
      </c>
      <c r="F12" s="36">
        <f>-1*A12</f>
        <v>-17</v>
      </c>
      <c r="H12" s="49">
        <f>A12</f>
        <v>17</v>
      </c>
      <c r="I12" s="49"/>
      <c r="J12" s="49"/>
    </row>
    <row r="13" spans="1:13">
      <c r="A13" s="4">
        <v>100</v>
      </c>
      <c r="B13" s="3" t="s">
        <v>22</v>
      </c>
      <c r="C13" s="5">
        <v>1</v>
      </c>
      <c r="D13" s="7">
        <v>5</v>
      </c>
      <c r="E13" s="16">
        <f t="shared" si="0"/>
        <v>225</v>
      </c>
      <c r="F13" s="36">
        <f>-1*A13</f>
        <v>-100</v>
      </c>
      <c r="H13" s="49"/>
      <c r="I13" s="49">
        <f>A13</f>
        <v>100</v>
      </c>
      <c r="J13" s="49"/>
    </row>
    <row r="14" spans="1:13">
      <c r="A14" s="4">
        <v>0</v>
      </c>
      <c r="B14" s="3" t="s">
        <v>24</v>
      </c>
      <c r="C14" s="5">
        <v>1</v>
      </c>
      <c r="D14" s="7">
        <v>3</v>
      </c>
      <c r="E14" s="16">
        <f t="shared" si="0"/>
        <v>0</v>
      </c>
      <c r="F14" s="18"/>
      <c r="H14" s="49">
        <f>A14</f>
        <v>0</v>
      </c>
      <c r="I14" s="49"/>
      <c r="J14" s="49"/>
    </row>
    <row r="15" spans="1:13">
      <c r="A15" s="4">
        <v>25</v>
      </c>
      <c r="B15" s="3" t="s">
        <v>23</v>
      </c>
      <c r="C15" s="5">
        <v>1</v>
      </c>
      <c r="D15" s="7">
        <v>3</v>
      </c>
      <c r="E15" s="16">
        <f t="shared" si="0"/>
        <v>33.75</v>
      </c>
      <c r="F15" s="18"/>
      <c r="H15" s="49"/>
      <c r="I15" s="49"/>
      <c r="J15" s="49">
        <f>A15</f>
        <v>25</v>
      </c>
    </row>
    <row r="16" spans="1:13">
      <c r="B16" s="9" t="s">
        <v>0</v>
      </c>
      <c r="C16" s="9" t="s">
        <v>1</v>
      </c>
      <c r="D16" s="9" t="s">
        <v>2</v>
      </c>
      <c r="E16" s="8" t="s">
        <v>9</v>
      </c>
      <c r="F16" s="8" t="s">
        <v>13</v>
      </c>
      <c r="H16" s="8" t="s">
        <v>97</v>
      </c>
      <c r="I16" s="8" t="s">
        <v>16</v>
      </c>
      <c r="J16" s="8" t="s">
        <v>98</v>
      </c>
    </row>
    <row r="19" spans="1:8" ht="24">
      <c r="A19" s="1" t="s">
        <v>30</v>
      </c>
      <c r="C19" s="5"/>
      <c r="D19" s="5"/>
    </row>
    <row r="20" spans="1:8">
      <c r="A20" s="78">
        <v>13</v>
      </c>
      <c r="B20" s="3" t="s">
        <v>31</v>
      </c>
      <c r="C20" s="5">
        <v>3</v>
      </c>
      <c r="D20" s="6">
        <v>20</v>
      </c>
      <c r="E20" s="15">
        <f>D20*A20*YEARGOLD</f>
        <v>93.6</v>
      </c>
      <c r="F20" s="17"/>
    </row>
    <row r="21" spans="1:8">
      <c r="A21" s="79">
        <v>3</v>
      </c>
      <c r="B21" s="3" t="s">
        <v>32</v>
      </c>
      <c r="C21" s="5">
        <v>4</v>
      </c>
      <c r="D21" s="7">
        <v>100</v>
      </c>
      <c r="E21" s="16">
        <f>D21*A21*YEARGOLD</f>
        <v>108</v>
      </c>
      <c r="F21" s="18"/>
    </row>
    <row r="22" spans="1:8">
      <c r="B22" s="9"/>
      <c r="C22" s="9" t="s">
        <v>1</v>
      </c>
      <c r="D22" s="9" t="s">
        <v>2</v>
      </c>
      <c r="E22" s="8" t="s">
        <v>9</v>
      </c>
      <c r="F22" s="8"/>
    </row>
    <row r="24" spans="1:8" ht="24">
      <c r="A24" s="1" t="s">
        <v>25</v>
      </c>
      <c r="C24" s="5"/>
      <c r="D24" s="5"/>
    </row>
    <row r="25" spans="1:8">
      <c r="A25" s="49">
        <f>(NONGOVPOP)/250</f>
        <v>34.826599999999999</v>
      </c>
      <c r="B25" s="3" t="s">
        <v>26</v>
      </c>
      <c r="C25" s="5">
        <v>2</v>
      </c>
      <c r="D25" s="6">
        <v>10</v>
      </c>
      <c r="E25" s="15">
        <f>D25*A25*YEARGOLD</f>
        <v>125.37575999999999</v>
      </c>
      <c r="F25" s="17"/>
      <c r="H25" s="23"/>
    </row>
    <row r="26" spans="1:8">
      <c r="A26" s="49">
        <f>NONGOVPOP/2500+0.9</f>
        <v>4.3826599999999996</v>
      </c>
      <c r="B26" s="3" t="s">
        <v>29</v>
      </c>
      <c r="C26" s="5">
        <v>3</v>
      </c>
      <c r="D26" s="7">
        <v>20</v>
      </c>
      <c r="E26" s="16">
        <f>D26*A26*YEARGOLD</f>
        <v>31.555152</v>
      </c>
      <c r="F26" s="18"/>
      <c r="H26" s="23"/>
    </row>
    <row r="27" spans="1:8">
      <c r="A27" s="49">
        <f>NONGOVPOP/25000</f>
        <v>0.34826599999999996</v>
      </c>
      <c r="B27" s="3" t="s">
        <v>28</v>
      </c>
      <c r="C27" s="5">
        <v>4</v>
      </c>
      <c r="D27" s="7">
        <v>50</v>
      </c>
      <c r="E27" s="16">
        <f>D27*A27*YEARGOLD</f>
        <v>6.2687879999999998</v>
      </c>
      <c r="F27" s="18"/>
      <c r="H27" s="23"/>
    </row>
    <row r="28" spans="1:8">
      <c r="A28" s="49">
        <f>NONGOVPOP/25000+0.9</f>
        <v>1.2482660000000001</v>
      </c>
      <c r="B28" s="3" t="s">
        <v>27</v>
      </c>
      <c r="C28" s="5">
        <v>6</v>
      </c>
      <c r="D28" s="7">
        <v>100</v>
      </c>
      <c r="E28" s="16">
        <f>D28*A28*YEARGOLD</f>
        <v>44.937576</v>
      </c>
      <c r="F28" s="18"/>
      <c r="H28" s="23"/>
    </row>
    <row r="29" spans="1:8">
      <c r="B29" s="9" t="s">
        <v>0</v>
      </c>
      <c r="C29" s="9" t="s">
        <v>1</v>
      </c>
      <c r="D29" s="9" t="s">
        <v>2</v>
      </c>
      <c r="E29" s="8" t="s">
        <v>9</v>
      </c>
      <c r="F29" s="8"/>
    </row>
    <row r="32" spans="1:8" ht="24">
      <c r="A32" s="1" t="s">
        <v>101</v>
      </c>
    </row>
    <row r="33" spans="1:7">
      <c r="A33" s="79">
        <v>29</v>
      </c>
      <c r="B33" t="s">
        <v>102</v>
      </c>
      <c r="C33" s="5">
        <v>1</v>
      </c>
      <c r="D33" s="6">
        <v>1.5</v>
      </c>
      <c r="E33" s="15">
        <f>D33*A33*YEARGOLD</f>
        <v>15.66</v>
      </c>
      <c r="G33" s="23" t="str">
        <f>INT(NONGOVPOP/150) &amp; " suggested, HALF that for slack cities"</f>
        <v>58 suggested, HALF that for slack cities</v>
      </c>
    </row>
  </sheetData>
  <sheetProtection sheet="1" objects="1" scenarios="1"/>
  <sortState ref="A25:H28">
    <sortCondition ref="B19:B22"/>
  </sortState>
  <pageMargins left="0.75" right="0.75" top="1" bottom="1" header="0.5" footer="0.5"/>
  <pageSetup orientation="portrait" horizontalDpi="4294967292" verticalDpi="4294967292"/>
  <ignoredErrors>
    <ignoredError sqref="H1:J1 E1:F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-0.499984740745262"/>
  </sheetPr>
  <dimension ref="A1:O23"/>
  <sheetViews>
    <sheetView showGridLines="0" workbookViewId="0">
      <selection activeCell="A7" sqref="A7"/>
    </sheetView>
  </sheetViews>
  <sheetFormatPr baseColWidth="10" defaultRowHeight="15" x14ac:dyDescent="0"/>
  <cols>
    <col min="1" max="1" width="12.83203125" customWidth="1"/>
  </cols>
  <sheetData>
    <row r="1" spans="1:15">
      <c r="A1" s="46">
        <f>360/1000</f>
        <v>0.36</v>
      </c>
      <c r="B1" s="3" t="s">
        <v>67</v>
      </c>
      <c r="O1" t="s">
        <v>99</v>
      </c>
    </row>
    <row r="2" spans="1:15">
      <c r="A2" s="46">
        <v>0.25</v>
      </c>
      <c r="B2" s="3" t="s">
        <v>65</v>
      </c>
    </row>
    <row r="3" spans="1:15">
      <c r="A3" s="46">
        <v>100000</v>
      </c>
      <c r="B3" s="3" t="s">
        <v>68</v>
      </c>
      <c r="G3" s="23" t="s">
        <v>70</v>
      </c>
    </row>
    <row r="4" spans="1:15">
      <c r="A4" s="46">
        <v>175000</v>
      </c>
      <c r="B4" s="3" t="s">
        <v>69</v>
      </c>
    </row>
    <row r="6" spans="1:15">
      <c r="A6" s="46">
        <v>1.25</v>
      </c>
      <c r="B6" s="3" t="s">
        <v>53</v>
      </c>
    </row>
    <row r="7" spans="1:15">
      <c r="A7" s="46">
        <v>5</v>
      </c>
      <c r="B7" s="3" t="s">
        <v>56</v>
      </c>
    </row>
    <row r="8" spans="1:15">
      <c r="A8" s="46">
        <v>1.1000000000000001</v>
      </c>
      <c r="B8" s="3" t="s">
        <v>54</v>
      </c>
    </row>
    <row r="9" spans="1:15">
      <c r="A9" s="46">
        <v>250</v>
      </c>
      <c r="B9" s="3" t="s">
        <v>57</v>
      </c>
    </row>
    <row r="11" spans="1:15">
      <c r="A11" s="46">
        <v>60</v>
      </c>
      <c r="B11" s="3" t="s">
        <v>55</v>
      </c>
      <c r="G11" s="23" t="s">
        <v>72</v>
      </c>
    </row>
    <row r="13" spans="1:15">
      <c r="A13" s="46">
        <v>0.8</v>
      </c>
      <c r="B13" s="3" t="s">
        <v>62</v>
      </c>
    </row>
    <row r="14" spans="1:15">
      <c r="A14" s="46">
        <v>12</v>
      </c>
      <c r="B14" s="3" t="s">
        <v>60</v>
      </c>
    </row>
    <row r="15" spans="1:15">
      <c r="A15" s="47">
        <v>1.5</v>
      </c>
      <c r="B15" s="3" t="s">
        <v>61</v>
      </c>
    </row>
    <row r="17" spans="1:2">
      <c r="A17" s="47">
        <v>50</v>
      </c>
      <c r="B17" s="3" t="s">
        <v>63</v>
      </c>
    </row>
    <row r="18" spans="1:2">
      <c r="A18" s="47">
        <v>10</v>
      </c>
      <c r="B18" s="3" t="s">
        <v>64</v>
      </c>
    </row>
    <row r="20" spans="1:2">
      <c r="A20" s="47">
        <v>4</v>
      </c>
      <c r="B20" s="3" t="s">
        <v>80</v>
      </c>
    </row>
    <row r="21" spans="1:2">
      <c r="A21" s="47">
        <v>20</v>
      </c>
      <c r="B21" s="3" t="s">
        <v>81</v>
      </c>
    </row>
    <row r="23" spans="1:2">
      <c r="A23" s="47">
        <v>25</v>
      </c>
      <c r="B23" s="3" t="s">
        <v>139</v>
      </c>
    </row>
  </sheetData>
  <sheetProtection sheet="1" objects="1" scenario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90"/>
  </sheetPr>
  <dimension ref="A1:R41"/>
  <sheetViews>
    <sheetView showGridLines="0" topLeftCell="A17" workbookViewId="0">
      <selection activeCell="D31" sqref="D31"/>
    </sheetView>
  </sheetViews>
  <sheetFormatPr baseColWidth="10" defaultRowHeight="15" x14ac:dyDescent="0"/>
  <cols>
    <col min="1" max="1" width="11.1640625" bestFit="1" customWidth="1"/>
    <col min="3" max="3" width="12.33203125" bestFit="1" customWidth="1"/>
    <col min="5" max="5" width="11.5" bestFit="1" customWidth="1"/>
    <col min="6" max="6" width="11.1640625" bestFit="1" customWidth="1"/>
    <col min="7" max="9" width="12.33203125" bestFit="1" customWidth="1"/>
  </cols>
  <sheetData>
    <row r="1" spans="1:18" ht="18">
      <c r="A1" s="98" t="s">
        <v>114</v>
      </c>
    </row>
    <row r="2" spans="1:18">
      <c r="A2" s="3" t="s">
        <v>115</v>
      </c>
      <c r="C2" s="99">
        <f>SUM(E2:R2)</f>
        <v>51000</v>
      </c>
      <c r="D2" t="s">
        <v>116</v>
      </c>
      <c r="E2" s="100">
        <v>26000</v>
      </c>
      <c r="F2" s="100">
        <v>10000</v>
      </c>
      <c r="G2" s="100">
        <v>9000</v>
      </c>
      <c r="H2" s="100">
        <v>6000</v>
      </c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spans="1:18">
      <c r="A3" s="3" t="s">
        <v>117</v>
      </c>
      <c r="C3" s="99">
        <f>SUM(E3:R3)</f>
        <v>0</v>
      </c>
      <c r="D3" t="s">
        <v>116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18">
      <c r="A4" s="3" t="s">
        <v>42</v>
      </c>
      <c r="C4" s="99">
        <f>E4</f>
        <v>290000</v>
      </c>
      <c r="D4" t="s">
        <v>116</v>
      </c>
      <c r="E4" s="100">
        <v>290000</v>
      </c>
    </row>
    <row r="6" spans="1:18">
      <c r="A6" s="3" t="s">
        <v>97</v>
      </c>
      <c r="C6" s="99">
        <f>SUM(E6:R6)</f>
        <v>6100</v>
      </c>
      <c r="D6" t="s">
        <v>116</v>
      </c>
      <c r="E6" s="100">
        <v>3000</v>
      </c>
      <c r="F6" s="100"/>
      <c r="G6" s="100">
        <v>400</v>
      </c>
      <c r="H6" s="100">
        <v>1200</v>
      </c>
      <c r="I6" s="100"/>
      <c r="J6" s="100">
        <v>1500</v>
      </c>
      <c r="K6" s="100"/>
      <c r="L6" s="100"/>
      <c r="M6" s="100"/>
      <c r="N6" s="100"/>
      <c r="O6" s="100"/>
      <c r="P6" s="100"/>
      <c r="Q6" s="100"/>
      <c r="R6" s="100"/>
    </row>
    <row r="7" spans="1:18">
      <c r="A7" s="3" t="s">
        <v>118</v>
      </c>
      <c r="C7" s="99">
        <f>SUM(E7:R7)</f>
        <v>400</v>
      </c>
      <c r="D7" t="s">
        <v>116</v>
      </c>
      <c r="E7" s="100"/>
      <c r="F7" s="100">
        <v>400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</row>
    <row r="8" spans="1:18">
      <c r="A8" s="3" t="s">
        <v>16</v>
      </c>
      <c r="C8" s="99">
        <f>SUM(E8:R8)</f>
        <v>700</v>
      </c>
      <c r="D8" t="s">
        <v>116</v>
      </c>
      <c r="E8" s="100">
        <v>200</v>
      </c>
      <c r="F8" s="100">
        <v>400</v>
      </c>
      <c r="G8" s="100">
        <v>100</v>
      </c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</row>
    <row r="9" spans="1:18">
      <c r="A9" s="3" t="s">
        <v>119</v>
      </c>
      <c r="C9" s="99">
        <f>SUM(E9:R9)</f>
        <v>4000</v>
      </c>
      <c r="D9" t="s">
        <v>116</v>
      </c>
      <c r="E9" s="100"/>
      <c r="F9" s="100"/>
      <c r="G9" s="100"/>
      <c r="H9" s="100"/>
      <c r="I9" s="100"/>
      <c r="J9" s="100">
        <v>4000</v>
      </c>
      <c r="K9" s="100"/>
      <c r="L9" s="100"/>
      <c r="M9" s="100"/>
      <c r="N9" s="100"/>
      <c r="O9" s="100"/>
      <c r="P9" s="100"/>
      <c r="Q9" s="100"/>
      <c r="R9" s="100"/>
    </row>
    <row r="11" spans="1:18">
      <c r="A11" s="3" t="s">
        <v>120</v>
      </c>
      <c r="C11" s="99">
        <f>SUM(E11:R11)</f>
        <v>16800</v>
      </c>
      <c r="D11" t="s">
        <v>116</v>
      </c>
      <c r="E11" s="100">
        <v>6000</v>
      </c>
      <c r="F11" s="100">
        <v>6000</v>
      </c>
      <c r="G11" s="100">
        <v>2000</v>
      </c>
      <c r="H11" s="100">
        <v>1600</v>
      </c>
      <c r="I11" s="100">
        <v>1200</v>
      </c>
      <c r="J11" s="100"/>
      <c r="K11" s="100"/>
      <c r="L11" s="100"/>
      <c r="M11" s="100"/>
      <c r="N11" s="100"/>
      <c r="O11" s="100"/>
      <c r="P11" s="100"/>
      <c r="Q11" s="100"/>
      <c r="R11" s="100"/>
    </row>
    <row r="13" spans="1:18">
      <c r="A13" s="3" t="s">
        <v>121</v>
      </c>
      <c r="C13" s="99">
        <f>SUM(E13:R13)</f>
        <v>240</v>
      </c>
      <c r="D13" t="s">
        <v>116</v>
      </c>
      <c r="E13" s="100">
        <v>200</v>
      </c>
      <c r="F13" s="100"/>
      <c r="G13" s="100">
        <v>5</v>
      </c>
      <c r="H13" s="100">
        <v>15</v>
      </c>
      <c r="I13" s="100"/>
      <c r="J13" s="100">
        <v>20</v>
      </c>
      <c r="K13" s="100"/>
      <c r="L13" s="100"/>
      <c r="M13" s="100"/>
      <c r="N13" s="100"/>
      <c r="O13" s="100"/>
      <c r="P13" s="100"/>
      <c r="Q13" s="100"/>
      <c r="R13" s="100"/>
    </row>
    <row r="14" spans="1:18">
      <c r="A14" s="3" t="s">
        <v>122</v>
      </c>
      <c r="C14" s="99">
        <f>SUM(E14:R14)</f>
        <v>0</v>
      </c>
      <c r="D14" t="s">
        <v>116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6" spans="1:18" s="101" customFormat="1"/>
    <row r="17" spans="1:12" ht="18">
      <c r="A17" s="98" t="s">
        <v>14</v>
      </c>
    </row>
    <row r="18" spans="1:12">
      <c r="A18" s="105" t="s">
        <v>97</v>
      </c>
      <c r="C18" s="109">
        <f>-1*(C6+C7*2)*WARRIOR_PAY*YEARGOLD*1.25</f>
        <v>-6210</v>
      </c>
      <c r="E18" s="105" t="s">
        <v>16</v>
      </c>
      <c r="G18" s="109">
        <f>-1*(C8+C9*2)*CAVALRY_PAY*YEARGOLD*1.25</f>
        <v>-15660</v>
      </c>
      <c r="I18" s="105" t="s">
        <v>123</v>
      </c>
      <c r="K18" s="109">
        <f>-1*I19*WARRIOR_PAY*YEARGOLD*1.25</f>
        <v>-16200</v>
      </c>
      <c r="L18" s="109">
        <v>0</v>
      </c>
    </row>
    <row r="19" spans="1:12">
      <c r="A19" s="49">
        <f>C6+C7</f>
        <v>6500</v>
      </c>
      <c r="B19" s="103"/>
      <c r="C19" s="36">
        <f>-1*(C6+C7)</f>
        <v>-6500</v>
      </c>
      <c r="E19" s="49">
        <f>C8+C9</f>
        <v>4700</v>
      </c>
      <c r="F19" s="103"/>
      <c r="G19" s="36">
        <f>-1*(C8+C9)*2</f>
        <v>-9400</v>
      </c>
      <c r="I19" s="49">
        <f>C13*75+C14*300</f>
        <v>18000</v>
      </c>
      <c r="J19" s="103"/>
      <c r="K19" s="36">
        <f>-1*I19</f>
        <v>-18000</v>
      </c>
    </row>
    <row r="20" spans="1:12">
      <c r="C20" s="104"/>
    </row>
    <row r="21" spans="1:12" ht="18">
      <c r="A21" s="98" t="s">
        <v>124</v>
      </c>
    </row>
    <row r="22" spans="1:12">
      <c r="A22" s="3" t="s">
        <v>44</v>
      </c>
      <c r="C22" s="105" t="s">
        <v>125</v>
      </c>
      <c r="D22" s="105" t="s">
        <v>2</v>
      </c>
      <c r="E22" s="105"/>
    </row>
    <row r="23" spans="1:12">
      <c r="A23" s="49">
        <f>C3</f>
        <v>0</v>
      </c>
      <c r="C23" s="36">
        <f>A23*1.1*0.91</f>
        <v>0</v>
      </c>
      <c r="D23" s="109">
        <f>A23*0.91*HUNTER_PAY*YEARGOLD+A23*0.09*SCALED_INCOME2</f>
        <v>0</v>
      </c>
      <c r="E23" s="109"/>
    </row>
    <row r="24" spans="1:12">
      <c r="C24" s="106"/>
    </row>
    <row r="25" spans="1:12" ht="18">
      <c r="A25" s="98" t="s">
        <v>126</v>
      </c>
    </row>
    <row r="26" spans="1:12">
      <c r="A26" s="3" t="s">
        <v>44</v>
      </c>
      <c r="C26" s="105" t="s">
        <v>125</v>
      </c>
      <c r="D26" s="105" t="s">
        <v>2</v>
      </c>
    </row>
    <row r="27" spans="1:12">
      <c r="A27" s="49">
        <f>IF(C4&gt;0,C4-A23-A19-E19-I19-C2,0)</f>
        <v>209800</v>
      </c>
      <c r="C27" s="36">
        <f>A27*1.25</f>
        <v>262250</v>
      </c>
      <c r="D27" s="109">
        <f>A27*FARMER_PAY*YEARGOLD</f>
        <v>75528</v>
      </c>
    </row>
    <row r="28" spans="1:12">
      <c r="C28" s="106"/>
    </row>
    <row r="29" spans="1:12" ht="18">
      <c r="A29" s="98" t="s">
        <v>129</v>
      </c>
    </row>
    <row r="30" spans="1:12">
      <c r="A30" s="3" t="s">
        <v>44</v>
      </c>
      <c r="C30" s="105"/>
      <c r="D30" s="105" t="s">
        <v>2</v>
      </c>
      <c r="F30" s="3"/>
    </row>
    <row r="31" spans="1:12">
      <c r="A31" s="49">
        <f>C2+(C3-A23)</f>
        <v>51000</v>
      </c>
      <c r="D31" s="109">
        <f>A31*SCALED_INCOME</f>
        <v>78108.108108108107</v>
      </c>
      <c r="F31" s="102"/>
    </row>
    <row r="32" spans="1:12">
      <c r="A32" s="99"/>
      <c r="F32" s="102"/>
      <c r="G32" s="102"/>
      <c r="H32" s="102"/>
      <c r="I32" s="102"/>
    </row>
    <row r="33" spans="1:8" s="101" customFormat="1"/>
    <row r="34" spans="1:8" ht="18">
      <c r="A34" s="98" t="s">
        <v>127</v>
      </c>
    </row>
    <row r="35" spans="1:8">
      <c r="A35" s="105" t="s">
        <v>125</v>
      </c>
      <c r="C35" s="105" t="s">
        <v>11</v>
      </c>
    </row>
    <row r="36" spans="1:8" ht="18">
      <c r="A36" s="36">
        <f>C19+G19+K19+C23+C27-A23-A27-A31</f>
        <v>-32450</v>
      </c>
      <c r="C36" s="107">
        <v>0.3</v>
      </c>
      <c r="D36" s="109">
        <f>(D23+D27+D31)*C36</f>
        <v>46090.832432432428</v>
      </c>
      <c r="F36" s="109">
        <f>D36+C18+G18+K18+L18</f>
        <v>8020.8324324324276</v>
      </c>
      <c r="H36" s="109">
        <f>IF(A36&lt;0,A36*0.25*1.25,0) + F36</f>
        <v>-2119.7925675675724</v>
      </c>
    </row>
    <row r="37" spans="1:8">
      <c r="A37" s="111" t="str">
        <f>IF(A36&lt;0,"Food Reduce: " &amp; INT((A36)/MAX(C3,C4)*100) &amp; "%","")</f>
        <v>Food Reduce: -12%</v>
      </c>
      <c r="F37" s="106" t="s">
        <v>128</v>
      </c>
      <c r="H37" s="108" t="s">
        <v>130</v>
      </c>
    </row>
    <row r="39" spans="1:8">
      <c r="A39" s="105" t="s">
        <v>133</v>
      </c>
      <c r="C39" s="3" t="s">
        <v>134</v>
      </c>
    </row>
    <row r="40" spans="1:8">
      <c r="A40" s="110">
        <f>(D23+D27+D31+E23)/1000</f>
        <v>153.63610810810812</v>
      </c>
      <c r="C40" s="112" t="s">
        <v>135</v>
      </c>
      <c r="D40" s="16">
        <f>A40*1000*0.025</f>
        <v>3840.9027027027028</v>
      </c>
    </row>
    <row r="41" spans="1:8">
      <c r="C41" s="112" t="s">
        <v>136</v>
      </c>
      <c r="D41" s="16">
        <f>A40*1000*0.05</f>
        <v>7681.8054054054055</v>
      </c>
    </row>
  </sheetData>
  <sheetProtection sheet="1" objects="1" scenarios="1"/>
  <dataValidations count="1">
    <dataValidation type="decimal" allowBlank="1" showInputMessage="1" showErrorMessage="1" sqref="C36">
      <formula1>0</formula1>
      <formula2>1</formula2>
    </dataValidation>
  </dataValidations>
  <pageMargins left="0.75" right="0.75" top="1" bottom="1" header="0.5" footer="0.5"/>
  <ignoredErrors>
    <ignoredError sqref="C2:C3 C6:C7 C11 C13:C14 C8:C9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I19" sqref="I19"/>
    </sheetView>
  </sheetViews>
  <sheetFormatPr baseColWidth="10" defaultRowHeight="15" x14ac:dyDescent="0"/>
  <sheetData>
    <row r="1" spans="1:1">
      <c r="A1" t="s">
        <v>37</v>
      </c>
    </row>
    <row r="2" spans="1:1">
      <c r="A2" t="s">
        <v>38</v>
      </c>
    </row>
    <row r="3" spans="1:1">
      <c r="A3" t="s">
        <v>59</v>
      </c>
    </row>
    <row r="4" spans="1:1">
      <c r="A4" t="s">
        <v>82</v>
      </c>
    </row>
    <row r="5" spans="1:1">
      <c r="A5" t="s">
        <v>113</v>
      </c>
    </row>
    <row r="6" spans="1:1">
      <c r="A6" t="s">
        <v>138</v>
      </c>
    </row>
    <row r="8" spans="1:1">
      <c r="A8" t="s">
        <v>39</v>
      </c>
    </row>
    <row r="9" spans="1:1">
      <c r="A9" t="s">
        <v>40</v>
      </c>
    </row>
    <row r="10" spans="1:1">
      <c r="A10" t="s">
        <v>47</v>
      </c>
    </row>
    <row r="12" spans="1:1">
      <c r="A12" t="s">
        <v>46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Dashboard</vt:lpstr>
      <vt:lpstr>Income</vt:lpstr>
      <vt:lpstr>Expenses</vt:lpstr>
      <vt:lpstr>Constants</vt:lpstr>
      <vt:lpstr>Culture Convert</vt:lpstr>
      <vt:lpstr>Notes</vt:lpstr>
    </vt:vector>
  </TitlesOfParts>
  <Company>Iron Mountain Digital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 Choinski</dc:creator>
  <cp:lastModifiedBy>Choinski</cp:lastModifiedBy>
  <dcterms:created xsi:type="dcterms:W3CDTF">2010-12-29T16:04:41Z</dcterms:created>
  <dcterms:modified xsi:type="dcterms:W3CDTF">2012-01-27T00:05:50Z</dcterms:modified>
</cp:coreProperties>
</file>