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120" windowWidth="18072" windowHeight="10488"/>
  </bookViews>
  <sheets>
    <sheet name="Character Record" sheetId="1" r:id="rId1"/>
    <sheet name="Skills" sheetId="2" r:id="rId2"/>
    <sheet name="Set Values" sheetId="3" r:id="rId3"/>
  </sheets>
  <definedNames>
    <definedName name="AB">'Character Record'!$H$8</definedName>
    <definedName name="Appearance">'Character Record'!$D$14</definedName>
    <definedName name="CB">'Character Record'!$H$9</definedName>
    <definedName name="CEL">'Character Record'!$H$13</definedName>
    <definedName name="CombatSkills">Skills!$A$65:$E$118</definedName>
    <definedName name="Constitution">'Character Record'!$D$13</definedName>
    <definedName name="CSkills">'Character Record'!$A$127</definedName>
    <definedName name="CurAgility">'Character Record'!$D$8</definedName>
    <definedName name="CurDexterity">'Character Record'!$D$7</definedName>
    <definedName name="CurEloquence">'Character Record'!$D$11</definedName>
    <definedName name="CurEmpathy">'Character Record'!$D$12</definedName>
    <definedName name="CurIntelligence">'Character Record'!$D$9</definedName>
    <definedName name="CurStamina">'Character Record'!$D$6</definedName>
    <definedName name="CurStrength">'Character Record'!$D$5</definedName>
    <definedName name="CurWill">'Character Record'!$D$10</definedName>
    <definedName name="DB">'Character Record'!$H$7</definedName>
    <definedName name="EffectiveAgility">'Character Record'!$F$8</definedName>
    <definedName name="EffectiveAppearance">'Character Record'!$F$14</definedName>
    <definedName name="EffectiveConstitution">'Character Record'!$F$13</definedName>
    <definedName name="EffectiveDexterity">'Character Record'!$F$7</definedName>
    <definedName name="EffectiveEloquence">'Character Record'!$F$11</definedName>
    <definedName name="EffectiveEmpathy">'Character Record'!$F$12</definedName>
    <definedName name="EffectiveIntelligence">'Character Record'!$F$9</definedName>
    <definedName name="EffectiveStamina">'Character Record'!$F$6</definedName>
    <definedName name="EffectiveStrength">'Character Record'!$F$5</definedName>
    <definedName name="EffectiveWill">'Character Record'!$F$10</definedName>
    <definedName name="KnowledgeSkills">Skills!$A$3:$E$63</definedName>
    <definedName name="MaxMagicEL">'Character Record'!$D$71</definedName>
    <definedName name="MEL">'Character Record'!$B$23</definedName>
    <definedName name="NSkills">'Character Record'!$A$105</definedName>
    <definedName name="Race">'Character Record'!$G$3</definedName>
    <definedName name="RangedWeapons">'Set Values'!$G$2:$M$18</definedName>
    <definedName name="SB">'Character Record'!$H$5</definedName>
    <definedName name="StB">'Character Record'!$H$6</definedName>
    <definedName name="TempAB">'Character Record'!$I$8</definedName>
    <definedName name="TempCB">'Character Record'!$I$9</definedName>
    <definedName name="TempDB">'Character Record'!$I$7</definedName>
    <definedName name="TempSB">'Character Record'!$I$5</definedName>
    <definedName name="TempStB">'Character Record'!$I$6</definedName>
  </definedNames>
  <calcPr calcId="125725" iterate="1"/>
</workbook>
</file>

<file path=xl/calcChain.xml><?xml version="1.0" encoding="utf-8"?>
<calcChain xmlns="http://schemas.openxmlformats.org/spreadsheetml/2006/main">
  <c r="D104" i="1"/>
  <c r="D74"/>
  <c r="D75"/>
  <c r="D76"/>
  <c r="D77"/>
  <c r="D78"/>
  <c r="D79"/>
  <c r="D80"/>
  <c r="D81"/>
  <c r="D82"/>
  <c r="D83"/>
  <c r="D84"/>
  <c r="D85"/>
  <c r="D86"/>
  <c r="D87"/>
  <c r="D88"/>
  <c r="D89"/>
  <c r="D90"/>
  <c r="D91"/>
  <c r="D92"/>
  <c r="D93"/>
  <c r="D94"/>
  <c r="D95"/>
  <c r="D96"/>
  <c r="D97"/>
  <c r="D98"/>
  <c r="D99"/>
  <c r="D100"/>
  <c r="D101"/>
  <c r="D102"/>
  <c r="D103"/>
  <c r="D73"/>
  <c r="D14"/>
  <c r="D13"/>
  <c r="F16"/>
  <c r="J72"/>
  <c r="C118"/>
  <c r="C119"/>
  <c r="C120"/>
  <c r="C121"/>
  <c r="C122"/>
  <c r="C123"/>
  <c r="C124"/>
  <c r="C125"/>
  <c r="C126"/>
  <c r="C143"/>
  <c r="C144"/>
  <c r="C145"/>
  <c r="C146"/>
  <c r="C147"/>
  <c r="C148"/>
  <c r="E74" l="1"/>
  <c r="F74"/>
  <c r="E75"/>
  <c r="F75"/>
  <c r="E76"/>
  <c r="F76"/>
  <c r="E77"/>
  <c r="F77"/>
  <c r="E78"/>
  <c r="F78"/>
  <c r="E79"/>
  <c r="F79"/>
  <c r="E80"/>
  <c r="F80"/>
  <c r="E81"/>
  <c r="F81"/>
  <c r="E82"/>
  <c r="F82"/>
  <c r="E83"/>
  <c r="F83"/>
  <c r="E84"/>
  <c r="F84"/>
  <c r="E85"/>
  <c r="F85"/>
  <c r="E86"/>
  <c r="F86"/>
  <c r="E87"/>
  <c r="F87"/>
  <c r="E88"/>
  <c r="F88"/>
  <c r="E89"/>
  <c r="F89"/>
  <c r="E90"/>
  <c r="F90"/>
  <c r="E91"/>
  <c r="F91"/>
  <c r="E92"/>
  <c r="F92"/>
  <c r="E93"/>
  <c r="F93"/>
  <c r="E94"/>
  <c r="F94"/>
  <c r="E95"/>
  <c r="F95"/>
  <c r="E96"/>
  <c r="F96"/>
  <c r="E97"/>
  <c r="F97"/>
  <c r="E98"/>
  <c r="F98"/>
  <c r="E99"/>
  <c r="F99"/>
  <c r="E100"/>
  <c r="F100"/>
  <c r="E101"/>
  <c r="F101"/>
  <c r="E102"/>
  <c r="F102"/>
  <c r="E103"/>
  <c r="F103"/>
  <c r="E104"/>
  <c r="F104"/>
  <c r="E73"/>
  <c r="F73"/>
  <c r="D71" l="1"/>
  <c r="F29" l="1"/>
  <c r="D3" l="1"/>
  <c r="D18" s="1"/>
  <c r="D19"/>
  <c r="F18" s="1"/>
  <c r="C3" l="1"/>
  <c r="D30"/>
  <c r="H30" s="1"/>
  <c r="G107"/>
  <c r="G108"/>
  <c r="G109"/>
  <c r="G110"/>
  <c r="G111"/>
  <c r="G112"/>
  <c r="G113"/>
  <c r="G114"/>
  <c r="G115"/>
  <c r="G116"/>
  <c r="G117"/>
  <c r="G118"/>
  <c r="G119"/>
  <c r="G120"/>
  <c r="G121"/>
  <c r="G122"/>
  <c r="G123"/>
  <c r="G124"/>
  <c r="G125"/>
  <c r="G126"/>
  <c r="G67"/>
  <c r="G68"/>
  <c r="G69"/>
  <c r="G70"/>
  <c r="C67"/>
  <c r="D67"/>
  <c r="E67"/>
  <c r="F67"/>
  <c r="C68"/>
  <c r="D68"/>
  <c r="E68"/>
  <c r="F68"/>
  <c r="C69"/>
  <c r="D69"/>
  <c r="E69"/>
  <c r="F69"/>
  <c r="C70"/>
  <c r="D70"/>
  <c r="E70"/>
  <c r="F70"/>
  <c r="G66"/>
  <c r="F66"/>
  <c r="E66"/>
  <c r="D66"/>
  <c r="C66"/>
  <c r="B59"/>
  <c r="C59"/>
  <c r="D59"/>
  <c r="E59"/>
  <c r="F59"/>
  <c r="G59"/>
  <c r="H59"/>
  <c r="B60"/>
  <c r="C60"/>
  <c r="D60"/>
  <c r="E60"/>
  <c r="F60"/>
  <c r="G60"/>
  <c r="H60"/>
  <c r="B61"/>
  <c r="C61"/>
  <c r="D61"/>
  <c r="E61"/>
  <c r="F61"/>
  <c r="G61"/>
  <c r="H61"/>
  <c r="B62"/>
  <c r="C62"/>
  <c r="D62"/>
  <c r="E62"/>
  <c r="F62"/>
  <c r="G62"/>
  <c r="H62"/>
  <c r="B63"/>
  <c r="C63"/>
  <c r="D63"/>
  <c r="E63"/>
  <c r="F63"/>
  <c r="G63"/>
  <c r="H63"/>
  <c r="B64"/>
  <c r="C64"/>
  <c r="D64"/>
  <c r="E64"/>
  <c r="F64"/>
  <c r="G64"/>
  <c r="H64"/>
  <c r="H58"/>
  <c r="B58"/>
  <c r="G58"/>
  <c r="F58"/>
  <c r="E58"/>
  <c r="D58"/>
  <c r="C58"/>
  <c r="G46" l="1"/>
  <c r="F46"/>
  <c r="E46"/>
  <c r="G45"/>
  <c r="F45"/>
  <c r="E45"/>
  <c r="G44"/>
  <c r="F44"/>
  <c r="E44"/>
  <c r="G43"/>
  <c r="F43"/>
  <c r="E43"/>
  <c r="G42"/>
  <c r="F42"/>
  <c r="E42"/>
  <c r="G41"/>
  <c r="F41"/>
  <c r="E41"/>
  <c r="G38"/>
  <c r="F38"/>
  <c r="E38"/>
  <c r="B51"/>
  <c r="B52"/>
  <c r="B53"/>
  <c r="B54"/>
  <c r="B55"/>
  <c r="B56"/>
  <c r="B50"/>
  <c r="B41"/>
  <c r="B46"/>
  <c r="B45"/>
  <c r="B44"/>
  <c r="B43"/>
  <c r="B42"/>
  <c r="B38"/>
  <c r="B39"/>
  <c r="B47"/>
  <c r="B48"/>
  <c r="B40" s="1"/>
  <c r="B37"/>
  <c r="I8" l="1"/>
  <c r="H16" s="1"/>
  <c r="I6"/>
  <c r="F6"/>
  <c r="F7"/>
  <c r="I7" s="1"/>
  <c r="F8"/>
  <c r="F9"/>
  <c r="F10"/>
  <c r="F11"/>
  <c r="F12"/>
  <c r="F5"/>
  <c r="J137"/>
  <c r="F17" l="1"/>
  <c r="H19"/>
  <c r="E142"/>
  <c r="C142" s="1"/>
  <c r="E114" l="1"/>
  <c r="C114" s="1"/>
  <c r="E115"/>
  <c r="C115" s="1"/>
  <c r="F113" l="1"/>
  <c r="F114"/>
  <c r="F115"/>
  <c r="F116"/>
  <c r="E117"/>
  <c r="C117" s="1"/>
  <c r="F117"/>
  <c r="F118"/>
  <c r="F112"/>
  <c r="F111"/>
  <c r="F110"/>
  <c r="F109"/>
  <c r="E109"/>
  <c r="C109" s="1"/>
  <c r="F50" l="1"/>
  <c r="E54" l="1"/>
  <c r="G54"/>
  <c r="E53"/>
  <c r="G53"/>
  <c r="E52"/>
  <c r="G52"/>
  <c r="E139"/>
  <c r="C139" s="1"/>
  <c r="E140"/>
  <c r="C140" s="1"/>
  <c r="E138"/>
  <c r="C138" s="1"/>
  <c r="E137"/>
  <c r="C137" s="1"/>
  <c r="E136"/>
  <c r="C136" s="1"/>
  <c r="E135"/>
  <c r="C135" s="1"/>
  <c r="E141"/>
  <c r="C141" s="1"/>
  <c r="E134"/>
  <c r="C134" s="1"/>
  <c r="E133"/>
  <c r="C133" s="1"/>
  <c r="E132"/>
  <c r="C132" s="1"/>
  <c r="E131"/>
  <c r="C131" s="1"/>
  <c r="E129"/>
  <c r="C129" s="1"/>
  <c r="E128"/>
  <c r="C128" s="1"/>
  <c r="G148"/>
  <c r="F148"/>
  <c r="G147"/>
  <c r="F147"/>
  <c r="G146"/>
  <c r="F146"/>
  <c r="G145"/>
  <c r="F145"/>
  <c r="G144"/>
  <c r="F144"/>
  <c r="G143"/>
  <c r="F143"/>
  <c r="G142"/>
  <c r="F142"/>
  <c r="G141"/>
  <c r="F141"/>
  <c r="G140"/>
  <c r="F140"/>
  <c r="G139"/>
  <c r="F139"/>
  <c r="G138"/>
  <c r="F138"/>
  <c r="G137"/>
  <c r="F137"/>
  <c r="G136"/>
  <c r="F136"/>
  <c r="G135"/>
  <c r="F135"/>
  <c r="G134"/>
  <c r="F134"/>
  <c r="G133"/>
  <c r="F133"/>
  <c r="G132"/>
  <c r="F132"/>
  <c r="G131"/>
  <c r="F131"/>
  <c r="G130"/>
  <c r="F130"/>
  <c r="G129"/>
  <c r="F129"/>
  <c r="G128"/>
  <c r="F128"/>
  <c r="E108"/>
  <c r="C108" s="1"/>
  <c r="F126"/>
  <c r="F125"/>
  <c r="F124"/>
  <c r="F123"/>
  <c r="F122"/>
  <c r="F121"/>
  <c r="F120"/>
  <c r="F119"/>
  <c r="F108"/>
  <c r="F107"/>
  <c r="B26"/>
  <c r="B23"/>
  <c r="B16"/>
  <c r="B17" s="1"/>
  <c r="F56"/>
  <c r="E56"/>
  <c r="E55"/>
  <c r="E51"/>
  <c r="E50"/>
  <c r="G56"/>
  <c r="G55"/>
  <c r="G51"/>
  <c r="G50"/>
  <c r="H25"/>
  <c r="H13"/>
  <c r="H8"/>
  <c r="H7"/>
  <c r="H6"/>
  <c r="H5"/>
  <c r="E12"/>
  <c r="E11"/>
  <c r="E10"/>
  <c r="E9"/>
  <c r="E8"/>
  <c r="E7"/>
  <c r="E6"/>
  <c r="E5"/>
  <c r="G37"/>
  <c r="F13"/>
  <c r="F14"/>
  <c r="B18" l="1"/>
  <c r="I9"/>
  <c r="F19" s="1"/>
  <c r="H17"/>
  <c r="H18"/>
  <c r="H15"/>
  <c r="E14"/>
  <c r="H9"/>
  <c r="E112"/>
  <c r="C112" s="1"/>
  <c r="E113"/>
  <c r="C113" s="1"/>
  <c r="E111"/>
  <c r="C111" s="1"/>
  <c r="E110"/>
  <c r="C110" s="1"/>
  <c r="E116"/>
  <c r="C116" s="1"/>
  <c r="F55"/>
  <c r="F54"/>
  <c r="E13"/>
  <c r="E107"/>
  <c r="C107" s="1"/>
  <c r="F53"/>
  <c r="F52"/>
  <c r="F51"/>
  <c r="F37"/>
  <c r="E130"/>
  <c r="C130" s="1"/>
  <c r="H23"/>
  <c r="H21"/>
  <c r="H24"/>
  <c r="H22"/>
  <c r="I5" l="1"/>
  <c r="H10"/>
  <c r="M17" i="3" l="1"/>
  <c r="M15"/>
  <c r="M12"/>
  <c r="M8"/>
  <c r="M3"/>
  <c r="M18"/>
  <c r="M16"/>
  <c r="M13"/>
  <c r="M10"/>
  <c r="M6"/>
  <c r="F40" i="1"/>
  <c r="E39"/>
  <c r="G39"/>
  <c r="G40"/>
  <c r="E40"/>
  <c r="F39"/>
  <c r="E37"/>
  <c r="H14"/>
</calcChain>
</file>

<file path=xl/comments1.xml><?xml version="1.0" encoding="utf-8"?>
<comments xmlns="http://schemas.openxmlformats.org/spreadsheetml/2006/main">
  <authors>
    <author>Bryan Tallant</author>
  </authors>
  <commentList>
    <comment ref="G14" authorId="0">
      <text>
        <r>
          <rPr>
            <b/>
            <sz val="9"/>
            <color indexed="81"/>
            <rFont val="Tahoma"/>
            <family val="2"/>
          </rPr>
          <t>Bryan Tallant:</t>
        </r>
        <r>
          <rPr>
            <sz val="9"/>
            <color indexed="81"/>
            <rFont val="Tahoma"/>
            <family val="2"/>
          </rPr>
          <t xml:space="preserve">
Adjusted for assassin skill
</t>
        </r>
      </text>
    </comment>
    <comment ref="G28" authorId="0">
      <text>
        <r>
          <rPr>
            <b/>
            <sz val="9"/>
            <color indexed="81"/>
            <rFont val="Tahoma"/>
            <family val="2"/>
          </rPr>
          <t>Bryan Tallant:</t>
        </r>
        <r>
          <rPr>
            <sz val="9"/>
            <color indexed="81"/>
            <rFont val="Tahoma"/>
            <family val="2"/>
          </rPr>
          <t xml:space="preserve">
Damage to armor = damage-AV, when damage=DR it is destroyed</t>
        </r>
      </text>
    </comment>
    <comment ref="G29" authorId="0">
      <text>
        <r>
          <rPr>
            <b/>
            <sz val="9"/>
            <color indexed="81"/>
            <rFont val="Tahoma"/>
            <family val="2"/>
          </rPr>
          <t>Bryan Tallant:</t>
        </r>
        <r>
          <rPr>
            <sz val="9"/>
            <color indexed="81"/>
            <rFont val="Tahoma"/>
            <family val="2"/>
          </rPr>
          <t xml:space="preserve">
A helmet is destroyed on any hit where damage &gt; DR, they do not take damage otherwise</t>
        </r>
      </text>
    </comment>
    <comment ref="G30" authorId="0">
      <text>
        <r>
          <rPr>
            <b/>
            <sz val="9"/>
            <color indexed="81"/>
            <rFont val="Tahoma"/>
            <family val="2"/>
          </rPr>
          <t>Bryan Tallant:</t>
        </r>
        <r>
          <rPr>
            <sz val="9"/>
            <color indexed="81"/>
            <rFont val="Tahoma"/>
            <family val="2"/>
          </rPr>
          <t xml:space="preserve">
1 damage is scored if the damage deflected &gt; 1/2 of DR, DR is reduced by damage, if DR+EL is exceeded on a hit the shield is broken, and the excess is taken by the user</t>
        </r>
      </text>
    </comment>
    <comment ref="B36" authorId="0">
      <text>
        <r>
          <rPr>
            <b/>
            <sz val="9"/>
            <color indexed="81"/>
            <rFont val="Tahoma"/>
            <family val="2"/>
          </rPr>
          <t>Bryan Tallant:</t>
        </r>
        <r>
          <rPr>
            <sz val="9"/>
            <color indexed="81"/>
            <rFont val="Tahoma"/>
            <family val="2"/>
          </rPr>
          <t xml:space="preserve">
Modified for assassin skill</t>
        </r>
      </text>
    </comment>
  </commentList>
</comments>
</file>

<file path=xl/sharedStrings.xml><?xml version="1.0" encoding="utf-8"?>
<sst xmlns="http://schemas.openxmlformats.org/spreadsheetml/2006/main" count="656" uniqueCount="418">
  <si>
    <t>Characteristic</t>
  </si>
  <si>
    <t>Strength (S)</t>
  </si>
  <si>
    <t>Stamina (St)</t>
  </si>
  <si>
    <t>Dexterity (D)</t>
  </si>
  <si>
    <t>Agility (A)</t>
  </si>
  <si>
    <t>Intelligence (I)</t>
  </si>
  <si>
    <t>Will (W)</t>
  </si>
  <si>
    <t>Eloquence (E)</t>
  </si>
  <si>
    <t>Empathy (Em)</t>
  </si>
  <si>
    <t>Appearance (A)</t>
  </si>
  <si>
    <t>Constitution (C)</t>
  </si>
  <si>
    <t>Powers and Perils Character Record</t>
  </si>
  <si>
    <t>Native Ability</t>
  </si>
  <si>
    <t>Multiplier</t>
  </si>
  <si>
    <t>Current Ability</t>
  </si>
  <si>
    <t>Maximum Ability</t>
  </si>
  <si>
    <t>Name:</t>
  </si>
  <si>
    <t>Human</t>
  </si>
  <si>
    <t>Male</t>
  </si>
  <si>
    <t>SB</t>
  </si>
  <si>
    <t>StB</t>
  </si>
  <si>
    <t>DB</t>
  </si>
  <si>
    <t>CB</t>
  </si>
  <si>
    <t>AB</t>
  </si>
  <si>
    <t>Ability</t>
  </si>
  <si>
    <t>Bonus</t>
  </si>
  <si>
    <t>Magic Factors</t>
  </si>
  <si>
    <t>Mana Level</t>
  </si>
  <si>
    <t>Magic Def Val. (MDV)</t>
  </si>
  <si>
    <t>Energy Level</t>
  </si>
  <si>
    <t>Current En Lev</t>
  </si>
  <si>
    <t>Magic Path</t>
  </si>
  <si>
    <t>Orientation</t>
  </si>
  <si>
    <t>MEL</t>
  </si>
  <si>
    <t>Casting Ability</t>
  </si>
  <si>
    <t>Mana Pts Used</t>
  </si>
  <si>
    <t>Mana Regen.</t>
  </si>
  <si>
    <t>Bonuses</t>
  </si>
  <si>
    <t>Misc Factors</t>
  </si>
  <si>
    <t>Age</t>
  </si>
  <si>
    <t>Influence</t>
  </si>
  <si>
    <t>Station</t>
  </si>
  <si>
    <t>Portage</t>
  </si>
  <si>
    <t>Food Req</t>
  </si>
  <si>
    <t>Weight</t>
  </si>
  <si>
    <t>Poison Res</t>
  </si>
  <si>
    <t>Money in Pocket</t>
  </si>
  <si>
    <t>GC</t>
  </si>
  <si>
    <t>SC</t>
  </si>
  <si>
    <t>CC</t>
  </si>
  <si>
    <t>BB</t>
  </si>
  <si>
    <t>Other Wealth:</t>
  </si>
  <si>
    <t>HPV</t>
  </si>
  <si>
    <t>Damage</t>
  </si>
  <si>
    <t>CEL</t>
  </si>
  <si>
    <t>Mag Exp Pts</t>
  </si>
  <si>
    <t>OCV</t>
  </si>
  <si>
    <t>DCV</t>
  </si>
  <si>
    <t>Move Rate</t>
  </si>
  <si>
    <t>Healing Chance</t>
  </si>
  <si>
    <t>Damage Tolerance Val</t>
  </si>
  <si>
    <t>Dodge Value</t>
  </si>
  <si>
    <t>Phase MR</t>
  </si>
  <si>
    <t>1)</t>
  </si>
  <si>
    <t>2)</t>
  </si>
  <si>
    <t>3)</t>
  </si>
  <si>
    <t>4)</t>
  </si>
  <si>
    <t>C Exp Pts</t>
  </si>
  <si>
    <t>M Exp Pts</t>
  </si>
  <si>
    <t>CE Pts</t>
  </si>
  <si>
    <t>Total Mult (2D6+14):</t>
  </si>
  <si>
    <t>Elf</t>
  </si>
  <si>
    <t>Faerry</t>
  </si>
  <si>
    <t>Dwarf</t>
  </si>
  <si>
    <t>HumanMale</t>
  </si>
  <si>
    <t>HumanFemale</t>
  </si>
  <si>
    <t>ElfMale</t>
  </si>
  <si>
    <t>ElfFemale</t>
  </si>
  <si>
    <t>FaerryMale</t>
  </si>
  <si>
    <t>FaerryFemale</t>
  </si>
  <si>
    <t>DwarfMale</t>
  </si>
  <si>
    <t>DwarfFemale</t>
  </si>
  <si>
    <t>Height mods</t>
  </si>
  <si>
    <t>Base Move rates</t>
  </si>
  <si>
    <t>Flying MR</t>
  </si>
  <si>
    <t>Armors:</t>
  </si>
  <si>
    <t>Shield</t>
  </si>
  <si>
    <t>Body:</t>
  </si>
  <si>
    <t>Head:</t>
  </si>
  <si>
    <t>Shield:</t>
  </si>
  <si>
    <t>Metal</t>
  </si>
  <si>
    <t>EL</t>
  </si>
  <si>
    <t>AV</t>
  </si>
  <si>
    <t>DR</t>
  </si>
  <si>
    <t>DR+EL</t>
  </si>
  <si>
    <t>WSB</t>
  </si>
  <si>
    <t>Normal</t>
  </si>
  <si>
    <t>Severe</t>
  </si>
  <si>
    <t>Deadly</t>
  </si>
  <si>
    <t>FV</t>
  </si>
  <si>
    <t>Tulwar</t>
  </si>
  <si>
    <t>Light Lance</t>
  </si>
  <si>
    <t>Longbow</t>
  </si>
  <si>
    <t>Point Blank</t>
  </si>
  <si>
    <t>Short</t>
  </si>
  <si>
    <t>Long</t>
  </si>
  <si>
    <t>Med</t>
  </si>
  <si>
    <t>Ranged Weapons</t>
  </si>
  <si>
    <t>Base Range</t>
  </si>
  <si>
    <t>Medium</t>
  </si>
  <si>
    <t>Extended</t>
  </si>
  <si>
    <t>Ext?</t>
  </si>
  <si>
    <t>Y</t>
  </si>
  <si>
    <t>Range Lines</t>
  </si>
  <si>
    <t>Ranged Weapons:</t>
  </si>
  <si>
    <t>Arbalest</t>
  </si>
  <si>
    <t>Bolas</t>
  </si>
  <si>
    <t>Bow</t>
  </si>
  <si>
    <t>Composite Bow</t>
  </si>
  <si>
    <t>Handle Sling</t>
  </si>
  <si>
    <t>Heavy Crossbow</t>
  </si>
  <si>
    <t>Javelin</t>
  </si>
  <si>
    <t>Light Crossbow</t>
  </si>
  <si>
    <t>Other Dagger</t>
  </si>
  <si>
    <t>Other Thrown</t>
  </si>
  <si>
    <t>Repeating Crossbow</t>
  </si>
  <si>
    <t>Sling</t>
  </si>
  <si>
    <t>Spear</t>
  </si>
  <si>
    <t>Throwing Axe</t>
  </si>
  <si>
    <t>Throwing Dagger</t>
  </si>
  <si>
    <t>PointBlnk</t>
  </si>
  <si>
    <t>Ext</t>
  </si>
  <si>
    <t>BaseRng</t>
  </si>
  <si>
    <t>N</t>
  </si>
  <si>
    <t>Weapons (HtoH &amp; Thrown):</t>
  </si>
  <si>
    <t>Magic Skills</t>
  </si>
  <si>
    <t>Spell</t>
  </si>
  <si>
    <t>Mana Cost</t>
  </si>
  <si>
    <t>Casting Spd</t>
  </si>
  <si>
    <t>Casting Cost</t>
  </si>
  <si>
    <t>Next Lev</t>
  </si>
  <si>
    <t>Expertise</t>
  </si>
  <si>
    <t>Spell Notes</t>
  </si>
  <si>
    <t>Skills</t>
  </si>
  <si>
    <t>Exptse</t>
  </si>
  <si>
    <t>Combat Skill</t>
  </si>
  <si>
    <t>Scimitar</t>
  </si>
  <si>
    <t>Horsemanship</t>
  </si>
  <si>
    <t>Horse Archery</t>
  </si>
  <si>
    <t>Fatigue Damage</t>
  </si>
  <si>
    <t>Max calc</t>
  </si>
  <si>
    <t>Max Chars</t>
  </si>
  <si>
    <t>Lev Cost</t>
  </si>
  <si>
    <t>NEL*6</t>
  </si>
  <si>
    <t>NEL*NEL</t>
  </si>
  <si>
    <t>NEL*9</t>
  </si>
  <si>
    <t>NEL*3</t>
  </si>
  <si>
    <t>Max EL</t>
  </si>
  <si>
    <t>Donaran</t>
  </si>
  <si>
    <t>Tracking</t>
  </si>
  <si>
    <t>Armorer</t>
  </si>
  <si>
    <t>Climbing</t>
  </si>
  <si>
    <t>Herbalist</t>
  </si>
  <si>
    <t>Military Leader</t>
  </si>
  <si>
    <t>Bowyer</t>
  </si>
  <si>
    <t>Jeweler</t>
  </si>
  <si>
    <t>Fletcher</t>
  </si>
  <si>
    <t>-</t>
  </si>
  <si>
    <t>Note that the EL here also affects other weapons from horseback</t>
  </si>
  <si>
    <t>FV is for arrows</t>
  </si>
  <si>
    <t>For stationary (&lt;25% move), the EL may be added to attack, or subtracted from enemy attack.</t>
  </si>
  <si>
    <t>EL is subtracted from moving mount mod, the max bow EL from horseback is the lesser of this, or bow EL.</t>
  </si>
  <si>
    <t>Use</t>
  </si>
  <si>
    <t>Equipment</t>
  </si>
  <si>
    <t>Price Paid</t>
  </si>
  <si>
    <t>Location</t>
  </si>
  <si>
    <t>Personal Contacts:</t>
  </si>
  <si>
    <t>Profession</t>
  </si>
  <si>
    <t>Special notes</t>
  </si>
  <si>
    <t>Character Special Notes:</t>
  </si>
  <si>
    <t>Skill</t>
  </si>
  <si>
    <t>Cost to Learn</t>
  </si>
  <si>
    <t>EL Increase</t>
  </si>
  <si>
    <t>Max Level</t>
  </si>
  <si>
    <t>Notes</t>
  </si>
  <si>
    <t>Acrobat</t>
  </si>
  <si>
    <t>Architect</t>
  </si>
  <si>
    <t>Artist</t>
  </si>
  <si>
    <t>Assassin</t>
  </si>
  <si>
    <t>Blacksmith</t>
  </si>
  <si>
    <t>Brewer</t>
  </si>
  <si>
    <t>Carpenter</t>
  </si>
  <si>
    <t>Carrying</t>
  </si>
  <si>
    <t>Clothier</t>
  </si>
  <si>
    <t>Deftness</t>
  </si>
  <si>
    <t>Disguise Artist</t>
  </si>
  <si>
    <t>Entertainer:</t>
  </si>
  <si>
    <t>Actor</t>
  </si>
  <si>
    <t>Dancer</t>
  </si>
  <si>
    <t>Musician</t>
  </si>
  <si>
    <t>Singer</t>
  </si>
  <si>
    <t>Eroticist</t>
  </si>
  <si>
    <t>Executioner</t>
  </si>
  <si>
    <t>Forester</t>
  </si>
  <si>
    <t>Gambler</t>
  </si>
  <si>
    <t>Healer</t>
  </si>
  <si>
    <t>Language (unrelated)</t>
  </si>
  <si>
    <t>Language (related)</t>
  </si>
  <si>
    <t>Locksmith</t>
  </si>
  <si>
    <t>Mason</t>
  </si>
  <si>
    <t>Merchant</t>
  </si>
  <si>
    <t>Miner</t>
  </si>
  <si>
    <t>Moneylender</t>
  </si>
  <si>
    <t>Navigation</t>
  </si>
  <si>
    <t>Potter</t>
  </si>
  <si>
    <t>Read+Write</t>
  </si>
  <si>
    <t>Rhetoric</t>
  </si>
  <si>
    <t>Scribe</t>
  </si>
  <si>
    <t>Scholar</t>
  </si>
  <si>
    <t>Seaman</t>
  </si>
  <si>
    <t>Servant</t>
  </si>
  <si>
    <t>Sign Language</t>
  </si>
  <si>
    <t>Smuggler</t>
  </si>
  <si>
    <t>Supernatural Language</t>
  </si>
  <si>
    <t>Survival</t>
  </si>
  <si>
    <t>Swimming</t>
  </si>
  <si>
    <t>Tanner</t>
  </si>
  <si>
    <t>Teamster</t>
  </si>
  <si>
    <t>Thief</t>
  </si>
  <si>
    <t>Trailing</t>
  </si>
  <si>
    <t>Vintner</t>
  </si>
  <si>
    <t>75 (100)</t>
  </si>
  <si>
    <t>NEL*5</t>
  </si>
  <si>
    <t>NEL*15</t>
  </si>
  <si>
    <t>Following/finding in wilderness setting</t>
  </si>
  <si>
    <t>Following/finding in urban setting</t>
  </si>
  <si>
    <t>Winemaking and knowledge</t>
  </si>
  <si>
    <t>Skill in leading troops and planning battles (directly translatable to By the Sword)</t>
  </si>
  <si>
    <t>Handling animal teams</t>
  </si>
  <si>
    <t>Double cost to learn without instruction</t>
  </si>
  <si>
    <t>Waterborne navigation (other is covered under survival)</t>
  </si>
  <si>
    <t>Language within family of native language of character</t>
  </si>
  <si>
    <t>Includes languages of other races</t>
  </si>
  <si>
    <t>(look this one up)</t>
  </si>
  <si>
    <t>Normal Knowledge skills</t>
  </si>
  <si>
    <t>Combat skills</t>
  </si>
  <si>
    <t>Axe</t>
  </si>
  <si>
    <t>Crossbow</t>
  </si>
  <si>
    <t>Dagger-Fight</t>
  </si>
  <si>
    <t>Dagger-Throw</t>
  </si>
  <si>
    <t>Hand-to-Hand</t>
  </si>
  <si>
    <t>Heavy Lance</t>
  </si>
  <si>
    <t>Heavy Sword</t>
  </si>
  <si>
    <t>Mace</t>
  </si>
  <si>
    <t>Misc Throwing Weapons</t>
  </si>
  <si>
    <t>Polearms</t>
  </si>
  <si>
    <t>Spear-Fight</t>
  </si>
  <si>
    <t>Spear-Throw</t>
  </si>
  <si>
    <t>Sword</t>
  </si>
  <si>
    <t>War Staff</t>
  </si>
  <si>
    <t>NEL*8</t>
  </si>
  <si>
    <t>NEL*7</t>
  </si>
  <si>
    <t>NEL*10</t>
  </si>
  <si>
    <t>Hand Axe</t>
  </si>
  <si>
    <t>Battle Axe</t>
  </si>
  <si>
    <t>Fighting with throwing axe only</t>
  </si>
  <si>
    <t>(Basic course-weapons advanced individually after learning)</t>
  </si>
  <si>
    <t>Broadsword</t>
  </si>
  <si>
    <t>Bastard Sword</t>
  </si>
  <si>
    <t>Great Sword</t>
  </si>
  <si>
    <t>(Basic course-no individual weapons)</t>
  </si>
  <si>
    <t>(Basic course-includes throwing from horseback-may use light spear or javelin from horseback at 1/2 EL (RU))</t>
  </si>
  <si>
    <t>Club</t>
  </si>
  <si>
    <t>Flail</t>
  </si>
  <si>
    <t>Hammer</t>
  </si>
  <si>
    <t>(Basic course-includes all varieties of thrown items/weapons)</t>
  </si>
  <si>
    <t>Halberd</t>
  </si>
  <si>
    <t>Poleaxe</t>
  </si>
  <si>
    <t>Glaive</t>
  </si>
  <si>
    <t>Pike</t>
  </si>
  <si>
    <t>Short Sword</t>
  </si>
  <si>
    <t>Roman-type thrusting sword</t>
  </si>
  <si>
    <t>(Basic course-includes all manner of simple staves/poles)</t>
  </si>
  <si>
    <t>Plate Armor</t>
  </si>
  <si>
    <t>Full Metal</t>
  </si>
  <si>
    <t>Hill</t>
  </si>
  <si>
    <t>City</t>
  </si>
  <si>
    <t>Mountain</t>
  </si>
  <si>
    <t>Forest</t>
  </si>
  <si>
    <t>Charge</t>
  </si>
  <si>
    <t>EL (eff)</t>
  </si>
  <si>
    <t>-EL on all combat rolls, -EL*2 from ambush attempts, -EL*3 from trailing or hiding attempts -additional damage for successful ambushes</t>
  </si>
  <si>
    <t>-EL to all combat rolls, -EL*2 to ambush attempts, -EL*3 to trailing or hiding, OCV+EL/3 RD, +EL/3 RU to all combat EL's, Ambush damage: Deadly (SB+1)D10+ EL*2 + normal mods, Severe 2D10+EL+normal, Normal 1D10+EL/2+normal</t>
  </si>
  <si>
    <t>Effective Ability</t>
  </si>
  <si>
    <t>Temporary Mods</t>
  </si>
  <si>
    <t>S</t>
  </si>
  <si>
    <t>St</t>
  </si>
  <si>
    <t>D</t>
  </si>
  <si>
    <t>A</t>
  </si>
  <si>
    <t>I</t>
  </si>
  <si>
    <t>W</t>
  </si>
  <si>
    <t>E</t>
  </si>
  <si>
    <t>Em</t>
  </si>
  <si>
    <t>C</t>
  </si>
  <si>
    <t>Ap</t>
  </si>
  <si>
    <t>Temp Bonuses</t>
  </si>
  <si>
    <t>MDV</t>
  </si>
  <si>
    <t>Influence Chance</t>
  </si>
  <si>
    <t>MR</t>
  </si>
  <si>
    <t>Native Ability Modifiers</t>
  </si>
  <si>
    <t>Female</t>
  </si>
  <si>
    <t>Strength</t>
  </si>
  <si>
    <t>Stamina</t>
  </si>
  <si>
    <t>Dexterity</t>
  </si>
  <si>
    <t>Agility</t>
  </si>
  <si>
    <t>Intelligence</t>
  </si>
  <si>
    <t>Will</t>
  </si>
  <si>
    <t>Eloquence</t>
  </si>
  <si>
    <t>Empathy</t>
  </si>
  <si>
    <t>Constitution</t>
  </si>
  <si>
    <t>Appearance</t>
  </si>
  <si>
    <t>Husbandry</t>
  </si>
  <si>
    <t>Choose animal</t>
  </si>
  <si>
    <t>Used:</t>
  </si>
  <si>
    <t>Weight Factor</t>
  </si>
  <si>
    <t>HeightCalc</t>
  </si>
  <si>
    <t>Height</t>
  </si>
  <si>
    <t>Badlander</t>
  </si>
  <si>
    <t>Finding way/water/trails in unfamiliar/hostile terrain, add EL/5ru to desert or badlands survival for ambush or avoidance of, and searching. Can also roll against EL to detect before an ambush is sprung, success = can react and warn others, partial success=is alert but cannot warn. Chance to wake up is increased by a multiple in all cases. Includes: Tracking at max EL, knows basic badlands creatures, knows legends nearest his home, 40% chance of knowing Dwarf Elder (if so, is a Dwarf friend), 10% chance of EL=Em in Elf Sidh (if so, is a friend of Searbhani), starting EL in both sling forms, 60% chance of max EL Fighting Dagger, Max EL in Badlands Survival.</t>
  </si>
  <si>
    <t>Boatman</t>
  </si>
  <si>
    <t>Must choose Open Waterways, or Swamp. Can judge currents and distances travelled, Memorises landmarks and watercourses like a thief on EL rolls (success=100% accuracy, partial = 75%, failure = 50%), Open Waterway Boatman: knows creatures in open waterways, max EL Waterway Survival, starting EL Warstaff, 40% chance of max EL in sling. Swamp Boatman: Max EL in Swamp Survival, knowledge of swamp creatures, starting EL Bow, 40% chance of max EL Warstaff.</t>
  </si>
  <si>
    <t>Hillman</t>
  </si>
  <si>
    <t>Can judge heights and distances, can memorize landmarks like a thief, judge current position relative to past or goal on EL (on success can either retrace steps or plot best route to goal, success = 100% accuracy, partial=75%, failure=50%), knowledge of Hill creatures, starting EL climbing, 40% chance of EL=Em Elf Sidh &amp; starting EL Forest Survival (if so is an Elf friend), starting EL Throwing Spear, max EL Hill Survival, 40% chance of players choice of max EL Sword OR Hand-to-Hand.</t>
  </si>
  <si>
    <t>Mountaineer</t>
  </si>
  <si>
    <t>Can judge heights and distances, can memorize landmarks like a thief, judge current position relative to past or goal on EL (on success can either retrace steps or plot best route to goal, success = 100% accuracy, partial=75%, failure=50%), knowledge of Mountain creatures, max EL climbing, 40% chance of EL=Em Dwarf Elder &amp; starting EL Underground(both types) Survival (if so is an Dwarf friend), starting EL Throwing Spear, max EL Mountain Survival, 40% chance of max EL in any one form of Heavy Sword or Axe.</t>
  </si>
  <si>
    <t>Watercraft</t>
  </si>
  <si>
    <t>Knows tasks of operating small craft, can fight from one without reduction (others reduce OCV/DCV/EL by 50%), can handle any inland waterway at EL, can sail ocean at 1/2 EL, can maintain and repair small vessels (roll against EL).</t>
  </si>
  <si>
    <t>Knows tasks of operating ocean-going craft, can fight from one without reduction (others reduce OCV/DCV/EL by 50%), can handle ocean hazards at EL, can sail inland waterways at 1/2 EL, can maintain and repair large vessels (roll against EL).</t>
  </si>
  <si>
    <t>Must choose an environment (ie desert), with separate tracking for each env (add Waterway, Ocean to list)</t>
  </si>
  <si>
    <t>Scrounger</t>
  </si>
  <si>
    <t>A form of the Survival skill with specific application: can find things in or near human habitations. Subtract EL for food (or any other) searching rolls, add ELx2 to Availability of items in markets. Is only available if also has City Survival, use at 1/2 EL in unfamiliar areas.</t>
  </si>
  <si>
    <t>(Basic course-no individual weapons; note that the website offers a variation making this individual to shield types)</t>
  </si>
  <si>
    <t>Max EL:</t>
  </si>
  <si>
    <t>Always Native Language - Always EL80</t>
  </si>
  <si>
    <t>Spear-Fighting</t>
  </si>
  <si>
    <t>Javelin-Fighting</t>
  </si>
  <si>
    <t>Spear-Throwing</t>
  </si>
  <si>
    <t>Javelin-Throwing</t>
  </si>
  <si>
    <t>Character and Equipment Special atts:</t>
  </si>
  <si>
    <t>Note that this does not include weapon and armor making other than items that also serve as tools</t>
  </si>
  <si>
    <t>Weapon and armor smithing, but not bows or arrows</t>
  </si>
  <si>
    <t>Bow making</t>
  </si>
  <si>
    <t>Arrow or bolt making</t>
  </si>
  <si>
    <t>Must choose an area of knowledge to specialize in (i.e. Archeology, History of Northern Tribes, Written Languages, Mathematics)</t>
  </si>
  <si>
    <t>Must choose a media type to specialize in (painting, sculture, drawing, etc.)</t>
  </si>
  <si>
    <t>There is only one climbing skill, I am assuming this includes 'scaling' (urban climbing)</t>
  </si>
  <si>
    <t>Law</t>
  </si>
  <si>
    <t>Balance</t>
  </si>
  <si>
    <t>Chaos</t>
  </si>
  <si>
    <t>Alignment</t>
  </si>
  <si>
    <t>Sidh</t>
  </si>
  <si>
    <t>Shadow</t>
  </si>
  <si>
    <t>Learn &amp; EL inc.: Elder &amp; Balance 2x, Chaos 4x Casting Cost: Elder &amp; Balance +1/EL, Chaos 2x</t>
  </si>
  <si>
    <t>Learn &amp; El inc.: Elder &amp; Balance 2x, Law 3x Casting Cost: Elder &amp; Balance +1/EL, Law 2x</t>
  </si>
  <si>
    <t>Learn: Balance 0.5x, Elder 1x, Law &amp; Chaos 3x EL inc.: Balance &amp; Elder 1x, Law and Chaos 3x Casting Cost: Elder 1x, Law &amp; Chaos 3x</t>
  </si>
  <si>
    <t>Learn: Elder 2x EL inc.: Elder 1x Casting Cost: Elder 1x</t>
  </si>
  <si>
    <t>Special costs for other magic: see guide</t>
  </si>
  <si>
    <t>(D + A + E) / 15</t>
  </si>
  <si>
    <t>(I + W + Em) / 2 or 80</t>
  </si>
  <si>
    <t>I + W + StB * 5 or 80</t>
  </si>
  <si>
    <t>( W + D + Em) / 2 or 80</t>
  </si>
  <si>
    <t>(I + W + D + A) / 20</t>
  </si>
  <si>
    <t>A + Em + StB * 5 or 80</t>
  </si>
  <si>
    <t>S + W or 80</t>
  </si>
  <si>
    <t>S + A + StB * 5 or 80</t>
  </si>
  <si>
    <t>(I + W + D) / 2 or 80</t>
  </si>
  <si>
    <t>I + Em or 80</t>
  </si>
  <si>
    <t>W + D + StB * 5</t>
  </si>
  <si>
    <t>(S + St) / 2</t>
  </si>
  <si>
    <t>(S + A) / 10 + StB</t>
  </si>
  <si>
    <t>(W + D + Em) / 2 or 80</t>
  </si>
  <si>
    <t>W + D or 80</t>
  </si>
  <si>
    <t>(I + Em + D) / 2 or 80</t>
  </si>
  <si>
    <t>(I + E + Em) / 15</t>
  </si>
  <si>
    <t>(A + Em + Ap) / 15</t>
  </si>
  <si>
    <t>(D + Em)/10</t>
  </si>
  <si>
    <t>(W + E + Em) / 15</t>
  </si>
  <si>
    <t>(W + Em + A + Ap) / 20</t>
  </si>
  <si>
    <t>(S + W + E) / 15</t>
  </si>
  <si>
    <t>(W + D + E + Em) / 20</t>
  </si>
  <si>
    <t>(I + Em) / 10</t>
  </si>
  <si>
    <t>W + Em or 80</t>
  </si>
  <si>
    <t>S + St or 80</t>
  </si>
  <si>
    <t>W + E or 80</t>
  </si>
  <si>
    <t>(I + W + E) / 2 or 80</t>
  </si>
  <si>
    <t>(I + W) / 2 + Em or 80</t>
  </si>
  <si>
    <t>D + Em or 80</t>
  </si>
  <si>
    <t>(I + Em) / 10 + StB</t>
  </si>
  <si>
    <t>(S + St + A) / 2 or 80</t>
  </si>
  <si>
    <t>(St + I + Em) / 2 or 80</t>
  </si>
  <si>
    <t>(D + W + E) / 2 or 80</t>
  </si>
  <si>
    <t>(I + W + Em) / 3 or 60</t>
  </si>
  <si>
    <t>(S + St) / 10 + AB</t>
  </si>
  <si>
    <t>St + W or 80</t>
  </si>
  <si>
    <t>(I + D + A) / 2 or 80</t>
  </si>
  <si>
    <t>(W + Em) / 10</t>
  </si>
  <si>
    <t>(I + Em + A) / 2 or 80</t>
  </si>
  <si>
    <t>(I + W + S) / 2 or 80</t>
  </si>
  <si>
    <t>(S + St) / 10</t>
  </si>
  <si>
    <t>(D + A) / 10</t>
  </si>
  <si>
    <t>(S + D) / 10</t>
  </si>
  <si>
    <t>(St + D) / 10</t>
  </si>
  <si>
    <t>(S + St + A + D) / 20</t>
  </si>
  <si>
    <t>(S + A) / 10</t>
  </si>
  <si>
    <t>(D + A) / 10 + SB</t>
  </si>
  <si>
    <t>(S + St + D) / 15</t>
  </si>
  <si>
    <t>(St + A) / 10</t>
  </si>
  <si>
    <t>(S + D + A) / 15</t>
  </si>
</sst>
</file>

<file path=xl/styles.xml><?xml version="1.0" encoding="utf-8"?>
<styleSheet xmlns="http://schemas.openxmlformats.org/spreadsheetml/2006/main">
  <fonts count="5">
    <font>
      <sz val="10"/>
      <name val="Arial"/>
    </font>
    <font>
      <sz val="8"/>
      <name val="Arial"/>
      <family val="2"/>
    </font>
    <font>
      <sz val="10"/>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63"/>
        <bgColor indexed="64"/>
      </patternFill>
    </fill>
    <fill>
      <patternFill patternType="solid">
        <fgColor indexed="55"/>
        <bgColor indexed="64"/>
      </patternFill>
    </fill>
    <fill>
      <patternFill patternType="solid">
        <fgColor rgb="FFFFFF00"/>
        <bgColor indexed="64"/>
      </patternFill>
    </fill>
    <fill>
      <patternFill patternType="solid">
        <fgColor theme="1" tint="0.499984740745262"/>
        <bgColor indexed="64"/>
      </patternFill>
    </fill>
    <fill>
      <patternFill patternType="solid">
        <fgColor theme="4" tint="0.79998168889431442"/>
        <bgColor indexed="64"/>
      </patternFill>
    </fill>
  </fills>
  <borders count="3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applyAlignment="1">
      <alignment wrapText="1"/>
    </xf>
    <xf numFmtId="0" fontId="0" fillId="0" borderId="0" xfId="0" applyBorder="1"/>
    <xf numFmtId="0" fontId="0" fillId="2" borderId="0" xfId="0" applyFill="1" applyBorder="1"/>
    <xf numFmtId="0" fontId="0" fillId="0" borderId="8" xfId="0" applyBorder="1"/>
    <xf numFmtId="0" fontId="0" fillId="2" borderId="8" xfId="0" applyFill="1" applyBorder="1"/>
    <xf numFmtId="0" fontId="0" fillId="0" borderId="7" xfId="0" applyBorder="1"/>
    <xf numFmtId="0" fontId="0" fillId="3" borderId="0" xfId="0" applyFill="1" applyBorder="1"/>
    <xf numFmtId="0" fontId="0" fillId="3" borderId="8" xfId="0" applyFill="1" applyBorder="1"/>
    <xf numFmtId="0" fontId="0" fillId="0" borderId="1" xfId="0" applyFill="1" applyBorder="1"/>
    <xf numFmtId="0" fontId="0" fillId="0" borderId="5" xfId="0" applyFill="1" applyBorder="1"/>
    <xf numFmtId="0" fontId="0" fillId="0" borderId="6" xfId="0" applyBorder="1"/>
    <xf numFmtId="0" fontId="0" fillId="0" borderId="6" xfId="0" applyFill="1" applyBorder="1"/>
    <xf numFmtId="0" fontId="0" fillId="0" borderId="3" xfId="0" applyFill="1" applyBorder="1"/>
    <xf numFmtId="0" fontId="0" fillId="0" borderId="8" xfId="0" applyFill="1" applyBorder="1"/>
    <xf numFmtId="0" fontId="0" fillId="0" borderId="1" xfId="0" applyFill="1" applyBorder="1" applyAlignment="1">
      <alignment wrapText="1"/>
    </xf>
    <xf numFmtId="0" fontId="0" fillId="0" borderId="1" xfId="0" applyFill="1" applyBorder="1" applyAlignment="1">
      <alignment horizontal="right"/>
    </xf>
    <xf numFmtId="0" fontId="0" fillId="0" borderId="2" xfId="0" applyFill="1" applyBorder="1"/>
    <xf numFmtId="0" fontId="0" fillId="0" borderId="4" xfId="0" applyFill="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1" xfId="0" applyFill="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1" xfId="0" applyBorder="1" applyAlignment="1">
      <alignment wrapText="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2" borderId="12" xfId="0" applyFill="1" applyBorder="1"/>
    <xf numFmtId="0" fontId="0" fillId="0" borderId="16" xfId="0" applyFill="1" applyBorder="1"/>
    <xf numFmtId="0" fontId="0" fillId="0" borderId="22" xfId="0" applyFill="1" applyBorder="1"/>
    <xf numFmtId="0" fontId="0" fillId="0" borderId="23" xfId="0" applyBorder="1"/>
    <xf numFmtId="0" fontId="0" fillId="0" borderId="23" xfId="0" applyFill="1" applyBorder="1" applyAlignment="1">
      <alignment horizontal="right"/>
    </xf>
    <xf numFmtId="0" fontId="0" fillId="0" borderId="24" xfId="0" applyBorder="1"/>
    <xf numFmtId="0" fontId="0" fillId="0" borderId="9" xfId="0" applyFill="1" applyBorder="1"/>
    <xf numFmtId="0" fontId="0" fillId="0" borderId="0" xfId="0" applyBorder="1" applyAlignment="1">
      <alignment horizontal="right"/>
    </xf>
    <xf numFmtId="0" fontId="0" fillId="0" borderId="0" xfId="0" quotePrefix="1" applyBorder="1" applyAlignment="1">
      <alignment horizontal="right"/>
    </xf>
    <xf numFmtId="0" fontId="0" fillId="0" borderId="20" xfId="0" applyBorder="1" applyAlignment="1">
      <alignment horizontal="right"/>
    </xf>
    <xf numFmtId="0" fontId="0" fillId="0" borderId="9" xfId="0" applyBorder="1" applyAlignment="1">
      <alignment wrapText="1"/>
    </xf>
    <xf numFmtId="0" fontId="0" fillId="0" borderId="25" xfId="0" applyBorder="1" applyAlignment="1">
      <alignment wrapText="1"/>
    </xf>
    <xf numFmtId="0" fontId="0" fillId="0" borderId="10" xfId="0" applyBorder="1" applyAlignment="1">
      <alignment wrapText="1"/>
    </xf>
    <xf numFmtId="0" fontId="0" fillId="2" borderId="20" xfId="0" applyFill="1" applyBorder="1"/>
    <xf numFmtId="0" fontId="0" fillId="0" borderId="0" xfId="0" applyFill="1" applyBorder="1"/>
    <xf numFmtId="0" fontId="0" fillId="0" borderId="7" xfId="0" applyFill="1" applyBorder="1"/>
    <xf numFmtId="0" fontId="0" fillId="2" borderId="0" xfId="0" applyFill="1" applyBorder="1" applyAlignment="1">
      <alignment horizontal="right"/>
    </xf>
    <xf numFmtId="0" fontId="0" fillId="0" borderId="25" xfId="0" applyBorder="1"/>
    <xf numFmtId="0" fontId="0" fillId="0" borderId="0"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0" xfId="0" applyFill="1" applyBorder="1" applyAlignment="1">
      <alignment wrapText="1"/>
    </xf>
    <xf numFmtId="0" fontId="0" fillId="0" borderId="10" xfId="0" applyFill="1" applyBorder="1" applyAlignment="1">
      <alignment wrapText="1"/>
    </xf>
    <xf numFmtId="0" fontId="0" fillId="0" borderId="26" xfId="0" applyBorder="1"/>
    <xf numFmtId="0" fontId="0" fillId="0" borderId="0" xfId="0" applyBorder="1" applyAlignment="1"/>
    <xf numFmtId="0" fontId="0" fillId="0" borderId="0" xfId="0" applyAlignment="1">
      <alignment wrapText="1"/>
    </xf>
    <xf numFmtId="0" fontId="0" fillId="0" borderId="0" xfId="0" applyAlignment="1">
      <alignment horizontal="right"/>
    </xf>
    <xf numFmtId="0" fontId="0" fillId="0" borderId="0" xfId="0" applyAlignment="1">
      <alignment horizontal="left"/>
    </xf>
    <xf numFmtId="0" fontId="0" fillId="2" borderId="0" xfId="0" applyFill="1" applyAlignment="1">
      <alignment wrapText="1"/>
    </xf>
    <xf numFmtId="0" fontId="0" fillId="2" borderId="0" xfId="0" applyFill="1"/>
    <xf numFmtId="0" fontId="0" fillId="0" borderId="20" xfId="0" applyBorder="1" applyAlignment="1">
      <alignment horizontal="left"/>
    </xf>
    <xf numFmtId="0" fontId="2" fillId="0" borderId="0" xfId="0" applyFont="1" applyBorder="1"/>
    <xf numFmtId="0" fontId="2" fillId="0" borderId="2" xfId="0" applyFont="1" applyBorder="1"/>
    <xf numFmtId="0" fontId="2" fillId="0" borderId="6" xfId="0" applyFont="1" applyBorder="1"/>
    <xf numFmtId="0" fontId="2" fillId="0" borderId="11" xfId="0" applyFont="1" applyBorder="1"/>
    <xf numFmtId="0" fontId="2" fillId="0" borderId="11" xfId="0" applyFont="1" applyBorder="1" applyAlignment="1">
      <alignment wrapText="1"/>
    </xf>
    <xf numFmtId="0" fontId="2" fillId="0" borderId="0" xfId="0" applyFont="1"/>
    <xf numFmtId="0" fontId="2" fillId="0" borderId="11" xfId="0" applyFont="1" applyFill="1" applyBorder="1"/>
    <xf numFmtId="0" fontId="0" fillId="0" borderId="11" xfId="0" applyFont="1" applyFill="1" applyBorder="1"/>
    <xf numFmtId="0" fontId="2" fillId="0" borderId="16" xfId="0" applyFont="1" applyBorder="1"/>
    <xf numFmtId="0" fontId="2" fillId="0" borderId="17" xfId="0" applyFont="1" applyBorder="1"/>
    <xf numFmtId="0" fontId="0" fillId="0" borderId="8" xfId="0" applyBorder="1" applyAlignment="1">
      <alignment horizontal="right"/>
    </xf>
    <xf numFmtId="0" fontId="0" fillId="0" borderId="15" xfId="0" applyBorder="1" applyAlignment="1">
      <alignment horizontal="center"/>
    </xf>
    <xf numFmtId="0" fontId="2" fillId="0" borderId="9" xfId="0" applyFont="1" applyFill="1" applyBorder="1"/>
    <xf numFmtId="0" fontId="2" fillId="4" borderId="0" xfId="0" quotePrefix="1" applyFont="1" applyFill="1"/>
    <xf numFmtId="0" fontId="2" fillId="0" borderId="0" xfId="0" quotePrefix="1" applyFont="1" applyAlignment="1">
      <alignment wrapText="1"/>
    </xf>
    <xf numFmtId="0" fontId="2" fillId="0" borderId="0" xfId="0" quotePrefix="1" applyFont="1"/>
    <xf numFmtId="0" fontId="2" fillId="0" borderId="0" xfId="0" applyFont="1" applyAlignment="1">
      <alignment horizontal="left"/>
    </xf>
    <xf numFmtId="0" fontId="0" fillId="0" borderId="11" xfId="0" applyBorder="1" applyAlignment="1">
      <alignment horizontal="left"/>
    </xf>
    <xf numFmtId="0" fontId="0" fillId="0" borderId="17" xfId="0" applyBorder="1" applyAlignment="1">
      <alignment horizontal="left"/>
    </xf>
    <xf numFmtId="0" fontId="2" fillId="0" borderId="12" xfId="0" applyFont="1" applyBorder="1"/>
    <xf numFmtId="0" fontId="2" fillId="0" borderId="7" xfId="0" applyFont="1" applyBorder="1" applyAlignment="1">
      <alignment wrapText="1"/>
    </xf>
    <xf numFmtId="0" fontId="2" fillId="0" borderId="27" xfId="0" applyFont="1" applyFill="1" applyBorder="1" applyAlignment="1">
      <alignment wrapText="1"/>
    </xf>
    <xf numFmtId="0" fontId="0" fillId="0" borderId="28" xfId="0" applyBorder="1"/>
    <xf numFmtId="0" fontId="0" fillId="0" borderId="29" xfId="0" applyBorder="1"/>
    <xf numFmtId="0" fontId="2" fillId="0" borderId="2" xfId="0" applyFont="1" applyFill="1" applyBorder="1"/>
    <xf numFmtId="0" fontId="2" fillId="0" borderId="4" xfId="0" applyFont="1" applyFill="1" applyBorder="1"/>
    <xf numFmtId="0" fontId="0" fillId="0" borderId="12" xfId="0" applyBorder="1" applyAlignment="1">
      <alignment horizontal="center"/>
    </xf>
    <xf numFmtId="0" fontId="2" fillId="0" borderId="5" xfId="0" applyFont="1" applyBorder="1"/>
    <xf numFmtId="0" fontId="2" fillId="0" borderId="1" xfId="0" applyFont="1" applyBorder="1"/>
    <xf numFmtId="0" fontId="2" fillId="0" borderId="0" xfId="0" applyFont="1" applyFill="1" applyBorder="1"/>
    <xf numFmtId="0" fontId="2" fillId="0" borderId="3" xfId="0" applyFont="1" applyBorder="1"/>
    <xf numFmtId="0" fontId="2" fillId="0" borderId="19" xfId="0" applyFont="1" applyBorder="1"/>
    <xf numFmtId="0" fontId="0" fillId="5" borderId="0" xfId="0" applyFill="1" applyBorder="1"/>
    <xf numFmtId="0" fontId="2" fillId="0" borderId="0" xfId="0" applyFont="1" applyAlignment="1">
      <alignment wrapText="1"/>
    </xf>
    <xf numFmtId="0" fontId="0" fillId="0" borderId="0" xfId="0" applyNumberFormat="1"/>
    <xf numFmtId="0" fontId="0" fillId="0" borderId="0" xfId="0" applyNumberFormat="1" applyAlignment="1">
      <alignment wrapText="1"/>
    </xf>
    <xf numFmtId="0" fontId="2" fillId="0" borderId="9" xfId="0" applyFont="1" applyBorder="1"/>
    <xf numFmtId="0" fontId="2" fillId="0" borderId="0" xfId="0" applyFont="1" applyAlignment="1">
      <alignment horizontal="right"/>
    </xf>
    <xf numFmtId="0" fontId="2" fillId="0" borderId="13" xfId="0" applyFont="1" applyFill="1" applyBorder="1"/>
    <xf numFmtId="0" fontId="0" fillId="0" borderId="0" xfId="0" applyFont="1" applyFill="1" applyBorder="1"/>
    <xf numFmtId="0" fontId="2" fillId="0" borderId="20" xfId="0" applyFont="1" applyBorder="1"/>
    <xf numFmtId="0" fontId="0" fillId="0" borderId="0" xfId="0" applyFont="1" applyFill="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2" fillId="0" borderId="11" xfId="0" applyFont="1"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0"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8" xfId="0"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2" fillId="0" borderId="0" xfId="0" applyFont="1" applyFill="1" applyBorder="1" applyAlignment="1">
      <alignment horizontal="center" wrapText="1"/>
    </xf>
    <xf numFmtId="0" fontId="2" fillId="0" borderId="12" xfId="0" applyFont="1" applyFill="1" applyBorder="1" applyAlignment="1">
      <alignment horizontal="center" wrapText="1"/>
    </xf>
    <xf numFmtId="0" fontId="0" fillId="0" borderId="17" xfId="0" applyBorder="1" applyAlignment="1">
      <alignment horizontal="center" wrapText="1"/>
    </xf>
    <xf numFmtId="0" fontId="0" fillId="0" borderId="11" xfId="0" applyBorder="1" applyAlignment="1">
      <alignment horizontal="center" wrapText="1"/>
    </xf>
    <xf numFmtId="0" fontId="2" fillId="0" borderId="8" xfId="0" applyFont="1" applyBorder="1"/>
    <xf numFmtId="0" fontId="2" fillId="6" borderId="5" xfId="0" applyFont="1" applyFill="1" applyBorder="1" applyAlignment="1">
      <alignment wrapText="1"/>
    </xf>
    <xf numFmtId="0" fontId="0" fillId="6" borderId="1" xfId="0" applyFill="1" applyBorder="1"/>
    <xf numFmtId="0" fontId="0" fillId="6" borderId="3" xfId="0" applyFill="1" applyBorder="1"/>
  </cellXfs>
  <cellStyles count="1">
    <cellStyle name="Normal" xfId="0" builtinId="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0F0F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sheetPr codeName="Sheet1"/>
  <dimension ref="A1:V194"/>
  <sheetViews>
    <sheetView tabSelected="1" topLeftCell="A7" workbookViewId="0">
      <selection activeCell="C50" sqref="C50"/>
    </sheetView>
  </sheetViews>
  <sheetFormatPr defaultRowHeight="13.2"/>
  <cols>
    <col min="1" max="1" width="16.33203125" customWidth="1"/>
    <col min="3" max="3" width="11.6640625" customWidth="1"/>
    <col min="4" max="4" width="8.33203125" customWidth="1"/>
    <col min="5" max="5" width="11.109375" customWidth="1"/>
    <col min="6" max="6" width="14.88671875" customWidth="1"/>
    <col min="7" max="7" width="12.44140625" customWidth="1"/>
    <col min="8" max="8" width="9.5546875" customWidth="1"/>
    <col min="9" max="9" width="9.109375" customWidth="1"/>
    <col min="10" max="10" width="12" customWidth="1"/>
    <col min="11" max="11" width="5" customWidth="1"/>
    <col min="14" max="14" width="20" bestFit="1" customWidth="1"/>
  </cols>
  <sheetData>
    <row r="1" spans="1:22">
      <c r="A1" s="122" t="s">
        <v>11</v>
      </c>
      <c r="B1" s="121"/>
      <c r="C1" s="121"/>
      <c r="D1" s="121"/>
      <c r="E1" s="121"/>
      <c r="F1" s="121"/>
      <c r="G1" s="24" t="s">
        <v>16</v>
      </c>
      <c r="H1" s="25"/>
    </row>
    <row r="2" spans="1:22">
      <c r="A2" s="26" t="s">
        <v>70</v>
      </c>
      <c r="B2" s="7"/>
      <c r="C2" s="70" t="s">
        <v>323</v>
      </c>
      <c r="D2" s="70" t="s">
        <v>325</v>
      </c>
      <c r="E2" s="7"/>
      <c r="F2" s="7"/>
      <c r="G2" s="70"/>
      <c r="H2" s="27"/>
      <c r="N2" s="97" t="s">
        <v>309</v>
      </c>
      <c r="O2" s="16"/>
      <c r="P2" s="16"/>
      <c r="Q2" s="16"/>
      <c r="R2" s="16"/>
      <c r="S2" s="16"/>
      <c r="T2" s="16"/>
      <c r="U2" s="16"/>
      <c r="V2" s="11"/>
    </row>
    <row r="3" spans="1:22">
      <c r="A3" s="28">
        <v>24</v>
      </c>
      <c r="B3" s="7"/>
      <c r="C3" s="7">
        <f>SUM(C5:C12)</f>
        <v>0</v>
      </c>
      <c r="D3" s="7">
        <f>VLOOKUP((CONCATENATE(G3,H3)),'Set Values'!A18:B25,2,FALSE)+B5+B6</f>
        <v>45</v>
      </c>
      <c r="E3" s="7"/>
      <c r="F3" s="7"/>
      <c r="G3" s="70" t="s">
        <v>71</v>
      </c>
      <c r="H3" s="89" t="s">
        <v>18</v>
      </c>
      <c r="N3" s="1"/>
      <c r="O3" s="98" t="s">
        <v>17</v>
      </c>
      <c r="P3" s="7"/>
      <c r="Q3" s="98" t="s">
        <v>71</v>
      </c>
      <c r="R3" s="7"/>
      <c r="S3" s="98" t="s">
        <v>72</v>
      </c>
      <c r="T3" s="7"/>
      <c r="U3" s="98" t="s">
        <v>73</v>
      </c>
      <c r="V3" s="2"/>
    </row>
    <row r="4" spans="1:22" ht="25.5" customHeight="1">
      <c r="A4" s="29" t="s">
        <v>0</v>
      </c>
      <c r="B4" s="6" t="s">
        <v>12</v>
      </c>
      <c r="C4" s="6" t="s">
        <v>13</v>
      </c>
      <c r="D4" s="6" t="s">
        <v>14</v>
      </c>
      <c r="E4" s="6" t="s">
        <v>15</v>
      </c>
      <c r="F4" s="90" t="s">
        <v>293</v>
      </c>
      <c r="G4" s="5" t="s">
        <v>37</v>
      </c>
      <c r="H4" s="16"/>
      <c r="I4" s="91" t="s">
        <v>305</v>
      </c>
      <c r="J4" s="141" t="s">
        <v>294</v>
      </c>
      <c r="K4" s="11"/>
      <c r="L4" s="75"/>
      <c r="N4" s="98" t="s">
        <v>0</v>
      </c>
      <c r="O4" s="98" t="s">
        <v>18</v>
      </c>
      <c r="P4" s="99" t="s">
        <v>310</v>
      </c>
      <c r="Q4" s="98" t="s">
        <v>18</v>
      </c>
      <c r="R4" s="99" t="s">
        <v>310</v>
      </c>
      <c r="S4" s="98" t="s">
        <v>18</v>
      </c>
      <c r="T4" s="99" t="s">
        <v>310</v>
      </c>
      <c r="U4" s="98" t="s">
        <v>18</v>
      </c>
      <c r="V4" s="94" t="s">
        <v>310</v>
      </c>
    </row>
    <row r="5" spans="1:22">
      <c r="A5" s="26" t="s">
        <v>1</v>
      </c>
      <c r="B5" s="7"/>
      <c r="C5" s="7"/>
      <c r="D5" s="7"/>
      <c r="E5" s="7">
        <f>ROUND(B5*C5,0)</f>
        <v>0</v>
      </c>
      <c r="F5" s="2">
        <f>D5+J5</f>
        <v>0</v>
      </c>
      <c r="G5" s="1" t="s">
        <v>19</v>
      </c>
      <c r="H5" s="7">
        <f>VLOOKUP(CurStrength,'Set Values'!$A$2:$B$16,2,TRUE)</f>
        <v>-1</v>
      </c>
      <c r="I5" s="92">
        <f>VLOOKUP(EffectiveStrength,'Set Values'!$A$2:$B$16,2,TRUE)</f>
        <v>-1</v>
      </c>
      <c r="J5" s="142"/>
      <c r="K5" s="71" t="s">
        <v>295</v>
      </c>
      <c r="L5" s="97"/>
      <c r="M5" s="11"/>
      <c r="N5" s="98" t="s">
        <v>311</v>
      </c>
      <c r="O5" s="1">
        <v>3</v>
      </c>
      <c r="P5" s="7">
        <v>-1</v>
      </c>
      <c r="Q5" s="1">
        <v>-2</v>
      </c>
      <c r="R5" s="7">
        <v>-3</v>
      </c>
      <c r="S5" s="1">
        <v>-4</v>
      </c>
      <c r="T5" s="7">
        <v>-6</v>
      </c>
      <c r="U5" s="1">
        <v>1</v>
      </c>
      <c r="V5" s="2">
        <v>0</v>
      </c>
    </row>
    <row r="6" spans="1:22">
      <c r="A6" s="26" t="s">
        <v>2</v>
      </c>
      <c r="B6" s="7"/>
      <c r="C6" s="7"/>
      <c r="D6" s="7"/>
      <c r="E6" s="7">
        <f t="shared" ref="E6:E12" si="0">ROUND(B6*C6,0)</f>
        <v>0</v>
      </c>
      <c r="F6" s="2">
        <f t="shared" ref="F6:F14" si="1">D6+J6</f>
        <v>0</v>
      </c>
      <c r="G6" s="1" t="s">
        <v>20</v>
      </c>
      <c r="H6" s="7">
        <f>VLOOKUP(CurStamina,'Set Values'!$A$2:$B$16,2,TRUE)</f>
        <v>-1</v>
      </c>
      <c r="I6" s="92">
        <f>VLOOKUP(EffectiveStamina,'Set Values'!$A$2:$B$16,2,TRUE)</f>
        <v>-1</v>
      </c>
      <c r="J6" s="142"/>
      <c r="K6" s="71" t="s">
        <v>296</v>
      </c>
      <c r="L6" s="98"/>
      <c r="M6" s="2"/>
      <c r="N6" s="98" t="s">
        <v>312</v>
      </c>
      <c r="O6" s="1">
        <v>0</v>
      </c>
      <c r="P6" s="7">
        <v>1</v>
      </c>
      <c r="Q6" s="1">
        <v>-3</v>
      </c>
      <c r="R6" s="7">
        <v>-2</v>
      </c>
      <c r="S6" s="1">
        <v>-2</v>
      </c>
      <c r="T6" s="7">
        <v>-3</v>
      </c>
      <c r="U6" s="1">
        <v>2</v>
      </c>
      <c r="V6" s="2">
        <v>2</v>
      </c>
    </row>
    <row r="7" spans="1:22">
      <c r="A7" s="26" t="s">
        <v>3</v>
      </c>
      <c r="B7" s="7"/>
      <c r="C7" s="7"/>
      <c r="D7" s="7"/>
      <c r="E7" s="7">
        <f t="shared" si="0"/>
        <v>0</v>
      </c>
      <c r="F7" s="2">
        <f t="shared" si="1"/>
        <v>0</v>
      </c>
      <c r="G7" s="1" t="s">
        <v>21</v>
      </c>
      <c r="H7" s="7">
        <f>VLOOKUP(CurDexterity,'Set Values'!$A$2:$B$16,2,TRUE)</f>
        <v>-1</v>
      </c>
      <c r="I7" s="92">
        <f>VLOOKUP(EffectiveDexterity,'Set Values'!$A$2:$B$16,2,TRUE)</f>
        <v>-1</v>
      </c>
      <c r="J7" s="142"/>
      <c r="K7" s="71" t="s">
        <v>297</v>
      </c>
      <c r="L7" s="98"/>
      <c r="M7" s="2"/>
      <c r="N7" s="98" t="s">
        <v>313</v>
      </c>
      <c r="O7" s="1">
        <v>-1</v>
      </c>
      <c r="P7" s="7">
        <v>0</v>
      </c>
      <c r="Q7" s="1">
        <v>1</v>
      </c>
      <c r="R7" s="7">
        <v>2</v>
      </c>
      <c r="S7" s="1">
        <v>2</v>
      </c>
      <c r="T7" s="7">
        <v>3</v>
      </c>
      <c r="U7" s="1">
        <v>-1</v>
      </c>
      <c r="V7" s="2">
        <v>-2</v>
      </c>
    </row>
    <row r="8" spans="1:22">
      <c r="A8" s="26" t="s">
        <v>4</v>
      </c>
      <c r="B8" s="53"/>
      <c r="C8" s="53"/>
      <c r="D8" s="53"/>
      <c r="E8" s="7">
        <f t="shared" si="0"/>
        <v>0</v>
      </c>
      <c r="F8" s="2">
        <f t="shared" si="1"/>
        <v>0</v>
      </c>
      <c r="G8" s="1" t="s">
        <v>23</v>
      </c>
      <c r="H8" s="7">
        <f>VLOOKUP(CurAgility,'Set Values'!$A$2:$B$16,2,TRUE)</f>
        <v>-1</v>
      </c>
      <c r="I8" s="92">
        <f>VLOOKUP(EffectiveAgility,'Set Values'!$A$2:$B$16,2,TRUE)</f>
        <v>-1</v>
      </c>
      <c r="J8" s="142"/>
      <c r="K8" s="71" t="s">
        <v>298</v>
      </c>
      <c r="L8" s="98"/>
      <c r="M8" s="2"/>
      <c r="N8" s="98" t="s">
        <v>314</v>
      </c>
      <c r="O8" s="1">
        <v>-1</v>
      </c>
      <c r="P8" s="7">
        <v>1</v>
      </c>
      <c r="Q8" s="1">
        <v>2</v>
      </c>
      <c r="R8" s="7">
        <v>2</v>
      </c>
      <c r="S8" s="1">
        <v>3</v>
      </c>
      <c r="T8" s="7">
        <v>3</v>
      </c>
      <c r="U8" s="1">
        <v>-2</v>
      </c>
      <c r="V8" s="2">
        <v>-1</v>
      </c>
    </row>
    <row r="9" spans="1:22">
      <c r="A9" s="26" t="s">
        <v>5</v>
      </c>
      <c r="B9" s="53"/>
      <c r="C9" s="53"/>
      <c r="D9" s="53"/>
      <c r="E9" s="7">
        <f t="shared" si="0"/>
        <v>0</v>
      </c>
      <c r="F9" s="2">
        <f t="shared" si="1"/>
        <v>0</v>
      </c>
      <c r="G9" s="3" t="s">
        <v>22</v>
      </c>
      <c r="H9" s="9">
        <f>VLOOKUP(Constitution,'Set Values'!$A$2:$B$16,2,TRUE)</f>
        <v>-1</v>
      </c>
      <c r="I9" s="93">
        <f>VLOOKUP(EffectiveConstitution,'Set Values'!$A$2:$B$16,2,TRUE)</f>
        <v>-1</v>
      </c>
      <c r="J9" s="142"/>
      <c r="K9" s="71" t="s">
        <v>299</v>
      </c>
      <c r="L9" s="98"/>
      <c r="M9" s="2"/>
      <c r="N9" s="98" t="s">
        <v>315</v>
      </c>
      <c r="O9" s="1">
        <v>2</v>
      </c>
      <c r="P9" s="7">
        <v>0</v>
      </c>
      <c r="Q9" s="1">
        <v>3</v>
      </c>
      <c r="R9" s="7">
        <v>2</v>
      </c>
      <c r="S9" s="1">
        <v>4</v>
      </c>
      <c r="T9" s="7">
        <v>2</v>
      </c>
      <c r="U9" s="1">
        <v>0</v>
      </c>
      <c r="V9" s="2">
        <v>0</v>
      </c>
    </row>
    <row r="10" spans="1:22">
      <c r="A10" s="26" t="s">
        <v>6</v>
      </c>
      <c r="B10" s="53"/>
      <c r="C10" s="53"/>
      <c r="D10" s="53"/>
      <c r="E10" s="7">
        <f t="shared" si="0"/>
        <v>0</v>
      </c>
      <c r="F10" s="2">
        <f t="shared" si="1"/>
        <v>0</v>
      </c>
      <c r="G10" s="15" t="s">
        <v>52</v>
      </c>
      <c r="H10" s="30">
        <f>ROUNDUP(((EffectiveStrength+EffectiveStamina+EffectiveConstitution)/4),0)</f>
        <v>0</v>
      </c>
      <c r="J10" s="142"/>
      <c r="K10" s="71" t="s">
        <v>300</v>
      </c>
      <c r="L10" s="98"/>
      <c r="M10" s="2"/>
      <c r="N10" s="98" t="s">
        <v>316</v>
      </c>
      <c r="O10" s="1">
        <v>0</v>
      </c>
      <c r="P10" s="7">
        <v>2</v>
      </c>
      <c r="Q10" s="1">
        <v>0</v>
      </c>
      <c r="R10" s="7">
        <v>2</v>
      </c>
      <c r="S10" s="1">
        <v>1</v>
      </c>
      <c r="T10" s="7">
        <v>3</v>
      </c>
      <c r="U10" s="1">
        <v>2</v>
      </c>
      <c r="V10" s="2">
        <v>1</v>
      </c>
    </row>
    <row r="11" spans="1:22">
      <c r="A11" s="26" t="s">
        <v>7</v>
      </c>
      <c r="B11" s="53"/>
      <c r="C11" s="53"/>
      <c r="D11" s="53"/>
      <c r="E11" s="7">
        <f t="shared" si="0"/>
        <v>0</v>
      </c>
      <c r="F11" s="2">
        <f t="shared" si="1"/>
        <v>0</v>
      </c>
      <c r="G11" s="14" t="s">
        <v>53</v>
      </c>
      <c r="H11" s="27"/>
      <c r="J11" s="142"/>
      <c r="K11" s="71" t="s">
        <v>301</v>
      </c>
      <c r="L11" s="98"/>
      <c r="M11" s="2"/>
      <c r="N11" s="98" t="s">
        <v>317</v>
      </c>
      <c r="O11" s="1">
        <v>0</v>
      </c>
      <c r="P11" s="7">
        <v>0</v>
      </c>
      <c r="Q11" s="1">
        <v>3</v>
      </c>
      <c r="R11" s="7">
        <v>2</v>
      </c>
      <c r="S11" s="1">
        <v>2</v>
      </c>
      <c r="T11" s="7">
        <v>2</v>
      </c>
      <c r="U11" s="1">
        <v>-2</v>
      </c>
      <c r="V11" s="2">
        <v>-2</v>
      </c>
    </row>
    <row r="12" spans="1:22">
      <c r="A12" s="26" t="s">
        <v>8</v>
      </c>
      <c r="B12" s="53"/>
      <c r="C12" s="53"/>
      <c r="D12" s="53"/>
      <c r="E12" s="7">
        <f t="shared" si="0"/>
        <v>0</v>
      </c>
      <c r="F12" s="2">
        <f t="shared" si="1"/>
        <v>0</v>
      </c>
      <c r="G12" s="14" t="s">
        <v>69</v>
      </c>
      <c r="H12" s="27"/>
      <c r="J12" s="142"/>
      <c r="K12" s="71" t="s">
        <v>302</v>
      </c>
      <c r="L12" s="98"/>
      <c r="M12" s="2"/>
      <c r="N12" s="98" t="s">
        <v>318</v>
      </c>
      <c r="O12" s="1">
        <v>-3</v>
      </c>
      <c r="P12" s="7">
        <v>-1</v>
      </c>
      <c r="Q12" s="1">
        <v>0</v>
      </c>
      <c r="R12" s="7">
        <v>1</v>
      </c>
      <c r="S12" s="1">
        <v>1</v>
      </c>
      <c r="T12" s="7">
        <v>2</v>
      </c>
      <c r="U12" s="1">
        <v>-1</v>
      </c>
      <c r="V12" s="2">
        <v>0</v>
      </c>
    </row>
    <row r="13" spans="1:22">
      <c r="A13" s="26" t="s">
        <v>10</v>
      </c>
      <c r="B13" s="7"/>
      <c r="C13" s="12"/>
      <c r="D13" s="7">
        <f>ROUND(B13*C13,0)</f>
        <v>0</v>
      </c>
      <c r="E13" s="53">
        <f>Constitution</f>
        <v>0</v>
      </c>
      <c r="F13" s="2">
        <f t="shared" si="1"/>
        <v>0</v>
      </c>
      <c r="G13" s="14" t="s">
        <v>54</v>
      </c>
      <c r="H13" s="27">
        <f>VLOOKUP(H12,'Set Values'!C2:D32,2,TRUE)</f>
        <v>0</v>
      </c>
      <c r="J13" s="142"/>
      <c r="K13" s="71" t="s">
        <v>303</v>
      </c>
      <c r="L13" s="98"/>
      <c r="M13" s="2"/>
      <c r="N13" s="98" t="s">
        <v>319</v>
      </c>
      <c r="O13" s="1">
        <v>0</v>
      </c>
      <c r="P13" s="7">
        <v>1</v>
      </c>
      <c r="Q13" s="1">
        <v>-1</v>
      </c>
      <c r="R13" s="7">
        <v>-1</v>
      </c>
      <c r="S13" s="1">
        <v>-2</v>
      </c>
      <c r="T13" s="7">
        <v>-2</v>
      </c>
      <c r="U13" s="1">
        <v>1</v>
      </c>
      <c r="V13" s="2">
        <v>2</v>
      </c>
    </row>
    <row r="14" spans="1:22">
      <c r="A14" s="32" t="s">
        <v>9</v>
      </c>
      <c r="B14" s="9"/>
      <c r="C14" s="13"/>
      <c r="D14" s="9">
        <f>ROUND(B14*C14,0)</f>
        <v>0</v>
      </c>
      <c r="E14" s="53">
        <f>Appearance</f>
        <v>0</v>
      </c>
      <c r="F14" s="2">
        <f t="shared" si="1"/>
        <v>0</v>
      </c>
      <c r="G14" s="14" t="s">
        <v>56</v>
      </c>
      <c r="H14" s="27">
        <f>CEL+TempSB+TempStB+ROUNDDOWN(IF(ISNUMBER(VLOOKUP("Assassin",$A$106:$B$126,2,FALSE)),VLOOKUP("Assassin",$A$106:$B$126,2,FALSE))/3,0)</f>
        <v>0</v>
      </c>
      <c r="J14" s="142"/>
      <c r="K14" s="71" t="s">
        <v>304</v>
      </c>
      <c r="L14" s="140"/>
      <c r="M14" s="4"/>
      <c r="N14" s="100" t="s">
        <v>320</v>
      </c>
      <c r="O14" s="3">
        <v>0</v>
      </c>
      <c r="P14" s="9">
        <v>0</v>
      </c>
      <c r="Q14" s="3">
        <v>1</v>
      </c>
      <c r="R14" s="9">
        <v>2</v>
      </c>
      <c r="S14" s="3">
        <v>2</v>
      </c>
      <c r="T14" s="9">
        <v>4</v>
      </c>
      <c r="U14" s="3">
        <v>-1</v>
      </c>
      <c r="V14" s="4">
        <v>-2</v>
      </c>
    </row>
    <row r="15" spans="1:22">
      <c r="A15" s="123" t="s">
        <v>26</v>
      </c>
      <c r="B15" s="124"/>
      <c r="C15" s="125" t="s">
        <v>38</v>
      </c>
      <c r="D15" s="126"/>
      <c r="E15" s="126"/>
      <c r="F15" s="124"/>
      <c r="G15" s="14" t="s">
        <v>57</v>
      </c>
      <c r="H15" s="27">
        <f>CEL+TempAB+TempDB</f>
        <v>-2</v>
      </c>
      <c r="J15" s="142"/>
      <c r="K15" s="94" t="s">
        <v>306</v>
      </c>
    </row>
    <row r="16" spans="1:22">
      <c r="A16" s="26" t="s">
        <v>27</v>
      </c>
      <c r="B16" s="2">
        <f>ROUNDUP(((CurIntelligence+CurWill+CurEmpathy)/10),0)</f>
        <v>0</v>
      </c>
      <c r="C16" s="1" t="s">
        <v>39</v>
      </c>
      <c r="D16" s="7"/>
      <c r="E16" s="7" t="s">
        <v>40</v>
      </c>
      <c r="F16" s="2">
        <f>EffectiveEloquence+EffectiveEmpathy+J16+IF(ISNUMBER(VLOOKUP("Rhetoric",A106:B126,2,FALSE)),VLOOKUP("Rhetoric",A106:B126,2,FALSE),0)</f>
        <v>3</v>
      </c>
      <c r="G16" s="14" t="s">
        <v>58</v>
      </c>
      <c r="H16" s="27">
        <f>MAX(VLOOKUP(Race,'Set Values'!A27:B30,2,FALSE)+1+TempAB+J17-IF(ISNUMBER(D19),IF(D19&gt;250.9,1+ROUNDDOWN((D19-251)/50,0)),0),6)</f>
        <v>10</v>
      </c>
      <c r="J16" s="142"/>
      <c r="K16" s="94" t="s">
        <v>307</v>
      </c>
    </row>
    <row r="17" spans="1:11" ht="26.4">
      <c r="A17" s="33" t="s">
        <v>28</v>
      </c>
      <c r="B17" s="2">
        <f>B16+IF(ISNUMBER(MEL),ROUNDUP(B23/2,0),0)+J15</f>
        <v>0</v>
      </c>
      <c r="C17" s="1" t="s">
        <v>41</v>
      </c>
      <c r="D17" s="7"/>
      <c r="E17" s="7" t="s">
        <v>42</v>
      </c>
      <c r="F17" s="2">
        <f>IF(TempStB&gt;0,(2*EffectiveStrength+20*TempStB),(2*EffectiveStrength))</f>
        <v>0</v>
      </c>
      <c r="G17" s="20" t="s">
        <v>59</v>
      </c>
      <c r="H17" s="27">
        <f>ROUNDUP((EffectiveConstitution+EffectiveStamina)/2,0)</f>
        <v>0</v>
      </c>
      <c r="J17" s="143"/>
      <c r="K17" s="95" t="s">
        <v>308</v>
      </c>
    </row>
    <row r="18" spans="1:11" ht="25.5" customHeight="1">
      <c r="A18" s="26" t="s">
        <v>29</v>
      </c>
      <c r="B18" s="2">
        <f>EffectiveConstitution+EffectiveWill</f>
        <v>0</v>
      </c>
      <c r="C18" s="98" t="s">
        <v>326</v>
      </c>
      <c r="D18" s="7" t="str">
        <f>CONCATENATE(ROUNDDOWN(D3/12,0),"' ",(MOD(D3,12)),"""")</f>
        <v>3' 9"</v>
      </c>
      <c r="E18" s="7" t="s">
        <v>43</v>
      </c>
      <c r="F18" s="2">
        <f>IF(ISNUMBER(D19),IF(D19&lt;100,0.5,IF(D19&lt;126,1,IF(D19&lt;161,2,IF(D19&lt;211,3,4+IF(D19&gt;250,ROUNDUP((D19-250)/30,0)))))),0)</f>
        <v>0.5</v>
      </c>
      <c r="G18" s="20" t="s">
        <v>60</v>
      </c>
      <c r="H18" s="27">
        <f>(ROUNDUP((EffectiveConstitution/20+TempStB),0))*-1</f>
        <v>1</v>
      </c>
    </row>
    <row r="19" spans="1:11">
      <c r="A19" s="26" t="s">
        <v>30</v>
      </c>
      <c r="B19" s="2"/>
      <c r="C19" s="3" t="s">
        <v>44</v>
      </c>
      <c r="D19" s="9">
        <f>IF(ISNUMBER(H26),(VLOOKUP((CONCATENATE(G3,H3)),'Set Values'!A18:B25,2,FALSE)+B5+B6)*H26,"")</f>
        <v>85.5</v>
      </c>
      <c r="E19" s="9" t="s">
        <v>45</v>
      </c>
      <c r="F19" s="4">
        <f>(TempCB+TempStB)*2</f>
        <v>-4</v>
      </c>
      <c r="G19" s="14" t="s">
        <v>61</v>
      </c>
      <c r="H19" s="27">
        <f>TempAB+TempDB</f>
        <v>-2</v>
      </c>
    </row>
    <row r="20" spans="1:11">
      <c r="A20" s="26" t="s">
        <v>31</v>
      </c>
      <c r="B20" s="2"/>
      <c r="C20" s="127" t="s">
        <v>46</v>
      </c>
      <c r="D20" s="128"/>
      <c r="E20" s="128"/>
      <c r="F20" s="129"/>
      <c r="G20" s="14" t="s">
        <v>62</v>
      </c>
      <c r="H20" s="27"/>
    </row>
    <row r="21" spans="1:11">
      <c r="A21" s="26" t="s">
        <v>32</v>
      </c>
      <c r="B21" s="2"/>
      <c r="C21" s="15" t="s">
        <v>47</v>
      </c>
      <c r="D21" s="16"/>
      <c r="E21" s="17" t="s">
        <v>49</v>
      </c>
      <c r="F21" s="11"/>
      <c r="G21" s="21" t="s">
        <v>63</v>
      </c>
      <c r="H21" s="27">
        <f>ROUNDDOWN($H$16/4,0)+IF(MOD($H$16,4)&gt;0,1,0)</f>
        <v>3</v>
      </c>
    </row>
    <row r="22" spans="1:11">
      <c r="A22" s="26" t="s">
        <v>55</v>
      </c>
      <c r="B22" s="2"/>
      <c r="C22" s="18" t="s">
        <v>48</v>
      </c>
      <c r="D22" s="9"/>
      <c r="E22" s="19" t="s">
        <v>50</v>
      </c>
      <c r="F22" s="4"/>
      <c r="G22" s="21" t="s">
        <v>64</v>
      </c>
      <c r="H22" s="27">
        <f>ROUNDDOWN($H$16/4,0)+IF(MOD($H$16,4)&gt;2,1,0)</f>
        <v>2</v>
      </c>
    </row>
    <row r="23" spans="1:11">
      <c r="A23" s="26" t="s">
        <v>33</v>
      </c>
      <c r="B23" s="2" t="str">
        <f>IF(ISBLANK(B20),"",VLOOKUP(B22,'Set Values'!E2:F32,2,TRUE))</f>
        <v/>
      </c>
      <c r="C23" s="14" t="s">
        <v>51</v>
      </c>
      <c r="D23" s="7"/>
      <c r="E23" s="7"/>
      <c r="F23" s="2"/>
      <c r="G23" s="21" t="s">
        <v>65</v>
      </c>
      <c r="H23" s="27">
        <f>ROUNDDOWN($H$16/4,0)+IF(MOD($H$16,4)&gt;1,1,0)</f>
        <v>3</v>
      </c>
    </row>
    <row r="24" spans="1:11">
      <c r="A24" s="26" t="s">
        <v>34</v>
      </c>
      <c r="B24" s="2"/>
      <c r="C24" s="1"/>
      <c r="D24" s="7"/>
      <c r="E24" s="7"/>
      <c r="F24" s="2"/>
      <c r="G24" s="21" t="s">
        <v>66</v>
      </c>
      <c r="H24" s="27">
        <f>ROUNDDOWN($H$16/4,0)</f>
        <v>2</v>
      </c>
    </row>
    <row r="25" spans="1:11">
      <c r="A25" s="26" t="s">
        <v>35</v>
      </c>
      <c r="B25" s="2"/>
      <c r="C25" s="1"/>
      <c r="D25" s="7"/>
      <c r="E25" s="7"/>
      <c r="F25" s="2"/>
      <c r="G25" s="21" t="s">
        <v>84</v>
      </c>
      <c r="H25" s="27" t="str">
        <f>IF(Race="Faerry",27+1+DB,"")</f>
        <v/>
      </c>
    </row>
    <row r="26" spans="1:11" ht="13.8" thickBot="1">
      <c r="A26" s="34" t="s">
        <v>36</v>
      </c>
      <c r="B26" s="35" t="str">
        <f>IF(ISBLANK(B20),"",ROUNDUP(D10/10,0)+ROUNDDOWN(B23/5,0))</f>
        <v/>
      </c>
      <c r="C26" s="36"/>
      <c r="D26" s="37"/>
      <c r="E26" s="37"/>
      <c r="F26" s="35"/>
      <c r="G26" s="101" t="s">
        <v>324</v>
      </c>
      <c r="H26" s="38">
        <v>1.9</v>
      </c>
    </row>
    <row r="27" spans="1:11">
      <c r="A27" s="41" t="s">
        <v>85</v>
      </c>
      <c r="B27" s="42"/>
      <c r="C27" s="42"/>
      <c r="D27" s="42" t="s">
        <v>91</v>
      </c>
      <c r="E27" s="42" t="s">
        <v>92</v>
      </c>
      <c r="F27" s="42" t="s">
        <v>93</v>
      </c>
      <c r="G27" s="43" t="s">
        <v>53</v>
      </c>
      <c r="H27" s="44" t="s">
        <v>94</v>
      </c>
    </row>
    <row r="28" spans="1:11">
      <c r="A28" s="28" t="s">
        <v>87</v>
      </c>
      <c r="B28" s="130" t="s">
        <v>283</v>
      </c>
      <c r="C28" s="117"/>
      <c r="D28" s="8"/>
      <c r="E28" s="7">
        <v>5</v>
      </c>
      <c r="F28" s="7">
        <v>45</v>
      </c>
      <c r="G28" s="7"/>
      <c r="H28" s="39"/>
    </row>
    <row r="29" spans="1:11">
      <c r="A29" s="28" t="s">
        <v>88</v>
      </c>
      <c r="B29" s="130" t="s">
        <v>284</v>
      </c>
      <c r="C29" s="117"/>
      <c r="D29" s="8"/>
      <c r="E29" s="7">
        <v>6</v>
      </c>
      <c r="F29" s="7">
        <f>10*E29</f>
        <v>60</v>
      </c>
      <c r="G29" s="102"/>
      <c r="H29" s="39"/>
    </row>
    <row r="30" spans="1:11">
      <c r="A30" s="40" t="s">
        <v>89</v>
      </c>
      <c r="B30" s="133" t="s">
        <v>90</v>
      </c>
      <c r="C30" s="133"/>
      <c r="D30" s="7">
        <f>IF(ISNUMBER(VLOOKUP("Shield",$A$128:$B$148,2,FALSE)),VLOOKUP("Shield",$A$128:$B$148,2,FALSE),"")</f>
        <v>11</v>
      </c>
      <c r="E30" s="10"/>
      <c r="F30" s="9">
        <v>19</v>
      </c>
      <c r="G30" s="9"/>
      <c r="H30" s="31">
        <f>F30-G30+D30</f>
        <v>30</v>
      </c>
    </row>
    <row r="31" spans="1:11">
      <c r="A31" s="108" t="s">
        <v>348</v>
      </c>
      <c r="B31" s="16"/>
      <c r="C31" s="72"/>
      <c r="D31" s="16"/>
      <c r="E31" s="16"/>
      <c r="F31" s="16"/>
      <c r="G31" s="16"/>
      <c r="H31" s="30"/>
    </row>
    <row r="32" spans="1:11">
      <c r="A32" s="139"/>
      <c r="B32" s="115"/>
      <c r="C32" s="115"/>
      <c r="D32" s="115"/>
      <c r="E32" s="115"/>
      <c r="F32" s="115"/>
      <c r="G32" s="115"/>
      <c r="H32" s="116"/>
    </row>
    <row r="33" spans="1:13">
      <c r="A33" s="139"/>
      <c r="B33" s="115"/>
      <c r="C33" s="115"/>
      <c r="D33" s="115"/>
      <c r="E33" s="115"/>
      <c r="F33" s="115"/>
      <c r="G33" s="115"/>
      <c r="H33" s="116"/>
    </row>
    <row r="34" spans="1:13" ht="25.5" customHeight="1">
      <c r="A34" s="139"/>
      <c r="B34" s="115"/>
      <c r="C34" s="115"/>
      <c r="D34" s="136"/>
      <c r="E34" s="136"/>
      <c r="F34" s="136"/>
      <c r="G34" s="136"/>
      <c r="H34" s="137"/>
      <c r="J34" s="75"/>
    </row>
    <row r="35" spans="1:13" ht="13.8" thickBot="1">
      <c r="A35" s="138"/>
      <c r="B35" s="134"/>
      <c r="C35" s="134"/>
      <c r="D35" s="134"/>
      <c r="E35" s="134"/>
      <c r="F35" s="134"/>
      <c r="G35" s="134"/>
      <c r="H35" s="135"/>
    </row>
    <row r="36" spans="1:13" ht="25.5" customHeight="1">
      <c r="A36" s="50" t="s">
        <v>134</v>
      </c>
      <c r="B36" s="82" t="s">
        <v>290</v>
      </c>
      <c r="C36" s="45" t="s">
        <v>95</v>
      </c>
      <c r="D36" s="45" t="s">
        <v>99</v>
      </c>
      <c r="E36" s="45" t="s">
        <v>96</v>
      </c>
      <c r="F36" s="45" t="s">
        <v>97</v>
      </c>
      <c r="G36" s="45" t="s">
        <v>98</v>
      </c>
      <c r="H36" s="61" t="s">
        <v>149</v>
      </c>
    </row>
    <row r="37" spans="1:13">
      <c r="A37" s="66" t="s">
        <v>250</v>
      </c>
      <c r="B37" s="7">
        <f>IF(ISBLANK(A37),"",VLOOKUP(A37,$A$128:$H$148,2,FALSE)+ROUNDUP(IF(ISNUMBER(VLOOKUP("Assassin",$A$106:$B$126,2,FALSE)),VLOOKUP("Assassin",$A$106:$B$126,2,FALSE))/3,0))</f>
        <v>9</v>
      </c>
      <c r="C37" s="46">
        <v>0</v>
      </c>
      <c r="D37" s="8"/>
      <c r="E37" s="7" t="str">
        <f>CONCATENATE("1D3+(",IF(B37&lt;&gt;"",TempSB,ROUNDDOWN(TempSB/2,0)),")")</f>
        <v>1D3+(-1)</v>
      </c>
      <c r="F37" s="7" t="str">
        <f>CONCATENATE("1D6+(",IF(B37&lt;&gt;"",H5+ROUNDUP(B37/2,0),H5),")")</f>
        <v>1D6+(4)</v>
      </c>
      <c r="G37" s="7" t="str">
        <f>CONCATENATE(IF(H5&gt;1,1+H5,2),"D10",IF(B37&lt;&gt;"",CONCATENATE("+(",B37,")"),""))</f>
        <v>2D10+(9)</v>
      </c>
      <c r="H37" s="39"/>
    </row>
    <row r="38" spans="1:13">
      <c r="A38" s="73"/>
      <c r="B38" s="7" t="str">
        <f t="shared" ref="B38:B46" si="2">IF(ISBLANK(A38),"",VLOOKUP(A38,$A$128:$H$148,2,FALSE)+ROUNDUP(IF(ISNUMBER(VLOOKUP("Assassin",$A$106:$B$126,2,FALSE)),VLOOKUP("Assassin",$A$106:$B$126,2,FALSE))/3,0))</f>
        <v/>
      </c>
      <c r="C38" s="46">
        <v>5</v>
      </c>
      <c r="D38" s="7">
        <v>36</v>
      </c>
      <c r="E38" s="7" t="str">
        <f>IF(ISBLANK(A38),"",CONCATENATE("1D6+(",TempSB+C38,")"))</f>
        <v/>
      </c>
      <c r="F38" s="7" t="str">
        <f>IF(ISBLANK(A38),"",CONCATENATE("1D10+(",TempSB+C38+ROUNDUP(B38/2,0),")"))</f>
        <v/>
      </c>
      <c r="G38" s="7" t="str">
        <f>IF(ISBLANK(A38),"",CONCATENATE(IF(TempSB&gt;1,1+TempSB,2),"D10+(",C38+B38,")"))</f>
        <v/>
      </c>
      <c r="H38" s="27"/>
      <c r="I38" s="85"/>
      <c r="M38" s="75"/>
    </row>
    <row r="39" spans="1:13">
      <c r="A39" s="26" t="s">
        <v>101</v>
      </c>
      <c r="B39" s="7">
        <f t="shared" si="2"/>
        <v>6</v>
      </c>
      <c r="C39" s="47">
        <v>-1</v>
      </c>
      <c r="D39" s="7">
        <v>7</v>
      </c>
      <c r="E39" s="7" t="str">
        <f>IF(ISBLANK(A39),"",CONCATENATE("1D6+(",TempSB+C39,")"))</f>
        <v>1D6+(-2)</v>
      </c>
      <c r="F39" s="7" t="str">
        <f>IF(ISBLANK(A39),"",CONCATENATE("1D10+(",TempSB+C39+ROUNDUP(B39/2,0),")"))</f>
        <v>1D10+(1)</v>
      </c>
      <c r="G39" s="7" t="str">
        <f>IF(ISBLANK(A39),"",CONCATENATE(IF(TempSB&gt;1,1+TempSB,2),"D10+(",C39+B39,")"))</f>
        <v>2D10+(5)</v>
      </c>
      <c r="H39" s="27"/>
    </row>
    <row r="40" spans="1:13">
      <c r="A40" s="74" t="s">
        <v>101</v>
      </c>
      <c r="B40" s="7">
        <f>IF(ISBLANK(A40),"",VLOOKUP(A40,$A$128:$H$148,2,FALSE)+ROUNDUP(IF(ISNUMBER(VLOOKUP("Assassin",$A$106:$B$126,2,FALSE)),VLOOKUP("Assassin",$A$106:$B$126,2,FALSE))/3,0)+B48)</f>
        <v>11</v>
      </c>
      <c r="C40" s="47">
        <v>1</v>
      </c>
      <c r="D40" s="7">
        <v>7</v>
      </c>
      <c r="E40" s="7" t="str">
        <f>CONCATENATE("1D6+(",TempSB+C40+C48,")")</f>
        <v>1D6+(2)</v>
      </c>
      <c r="F40" s="7" t="str">
        <f>CONCATENATE("1D10+(",TempSB+C40+C48+ROUNDUP((B40+B48)/2,0),")")</f>
        <v>1D10+(10)</v>
      </c>
      <c r="G40" s="7" t="str">
        <f>CONCATENATE(IF(TempSB&gt;1,1+TempSB,2),"D10+(",C40+B40+B48+C48,")")</f>
        <v>2D10+(19)</v>
      </c>
      <c r="H40" s="27"/>
      <c r="I40" s="75" t="s">
        <v>289</v>
      </c>
    </row>
    <row r="41" spans="1:13">
      <c r="A41" s="77"/>
      <c r="B41" s="7" t="str">
        <f>IF(ISBLANK(A41),"",VLOOKUP(A41,$A$128:$H$148,2,FALSE)+ROUNDUP(IF(ISNUMBER(VLOOKUP("Assassin",$A$106:$B$126,2,FALSE)),VLOOKUP("Assassin",$A$106:$B$126,2,FALSE))/3,0))</f>
        <v/>
      </c>
      <c r="C41" s="46">
        <v>0</v>
      </c>
      <c r="D41" s="53">
        <v>6</v>
      </c>
      <c r="E41" s="7" t="str">
        <f t="shared" ref="E41:E46" si="3">IF(ISBLANK(A41),"",CONCATENATE("1D6+(",TempSB+C41,")"))</f>
        <v/>
      </c>
      <c r="F41" s="7" t="str">
        <f t="shared" ref="F41:F46" si="4">IF(ISBLANK(A41),"",CONCATENATE("1D10+(",TempSB+C41+ROUNDUP(B41/2,0),")"))</f>
        <v/>
      </c>
      <c r="G41" s="7" t="str">
        <f t="shared" ref="G41:G46" si="5">IF(ISBLANK(A41),"",CONCATENATE(IF(TempSB&gt;1,1+TempSB,2),"D10+(",C41+B41,")"))</f>
        <v/>
      </c>
      <c r="H41" s="27">
        <v>1</v>
      </c>
      <c r="M41" s="75"/>
    </row>
    <row r="42" spans="1:13">
      <c r="A42" s="86"/>
      <c r="B42" s="7" t="str">
        <f t="shared" si="2"/>
        <v/>
      </c>
      <c r="C42" s="46">
        <v>1</v>
      </c>
      <c r="D42" s="53">
        <v>12</v>
      </c>
      <c r="E42" s="7" t="str">
        <f t="shared" si="3"/>
        <v/>
      </c>
      <c r="F42" s="7" t="str">
        <f t="shared" si="4"/>
        <v/>
      </c>
      <c r="G42" s="7" t="str">
        <f t="shared" si="5"/>
        <v/>
      </c>
      <c r="H42" s="27">
        <v>5</v>
      </c>
    </row>
    <row r="43" spans="1:13">
      <c r="B43" s="7" t="str">
        <f t="shared" si="2"/>
        <v/>
      </c>
      <c r="C43" s="46"/>
      <c r="D43" s="7"/>
      <c r="E43" s="7" t="str">
        <f t="shared" si="3"/>
        <v/>
      </c>
      <c r="F43" s="7" t="str">
        <f t="shared" si="4"/>
        <v/>
      </c>
      <c r="G43" s="7" t="str">
        <f t="shared" si="5"/>
        <v/>
      </c>
      <c r="H43" s="27"/>
    </row>
    <row r="44" spans="1:13">
      <c r="B44" s="7" t="str">
        <f t="shared" si="2"/>
        <v/>
      </c>
      <c r="C44" s="46"/>
      <c r="D44" s="7"/>
      <c r="E44" s="7" t="str">
        <f t="shared" si="3"/>
        <v/>
      </c>
      <c r="F44" s="7" t="str">
        <f t="shared" si="4"/>
        <v/>
      </c>
      <c r="G44" s="7" t="str">
        <f t="shared" si="5"/>
        <v/>
      </c>
      <c r="H44" s="27"/>
    </row>
    <row r="45" spans="1:13">
      <c r="B45" s="7" t="str">
        <f t="shared" si="2"/>
        <v/>
      </c>
      <c r="C45" s="46"/>
      <c r="D45" s="7"/>
      <c r="E45" s="7" t="str">
        <f t="shared" si="3"/>
        <v/>
      </c>
      <c r="F45" s="7" t="str">
        <f t="shared" si="4"/>
        <v/>
      </c>
      <c r="G45" s="7" t="str">
        <f t="shared" si="5"/>
        <v/>
      </c>
      <c r="H45" s="27"/>
    </row>
    <row r="46" spans="1:13">
      <c r="B46" s="7" t="str">
        <f t="shared" si="2"/>
        <v/>
      </c>
      <c r="C46" s="46"/>
      <c r="D46" s="7"/>
      <c r="E46" s="7" t="str">
        <f t="shared" si="3"/>
        <v/>
      </c>
      <c r="F46" s="7" t="str">
        <f t="shared" si="4"/>
        <v/>
      </c>
      <c r="G46" s="7" t="str">
        <f t="shared" si="5"/>
        <v/>
      </c>
      <c r="H46" s="27"/>
    </row>
    <row r="47" spans="1:13">
      <c r="A47" s="28" t="s">
        <v>148</v>
      </c>
      <c r="B47" s="7">
        <f t="shared" ref="B47:B48" si="6">IF(ISBLANK(A47),"",VLOOKUP(A47,$A$128:$H$148,2,FALSE))</f>
        <v>3</v>
      </c>
      <c r="C47" s="46"/>
      <c r="D47" s="7"/>
      <c r="E47" s="7"/>
      <c r="F47" s="7"/>
      <c r="G47" s="7"/>
      <c r="H47" s="27"/>
      <c r="I47" t="s">
        <v>171</v>
      </c>
    </row>
    <row r="48" spans="1:13">
      <c r="A48" s="26" t="s">
        <v>147</v>
      </c>
      <c r="B48" s="7">
        <f t="shared" si="6"/>
        <v>5</v>
      </c>
      <c r="C48" s="46">
        <v>2</v>
      </c>
      <c r="D48" s="7"/>
      <c r="E48" s="7"/>
      <c r="F48" s="7"/>
      <c r="G48" s="7"/>
      <c r="H48" s="27"/>
      <c r="I48" t="s">
        <v>168</v>
      </c>
    </row>
    <row r="49" spans="1:9">
      <c r="A49" s="26" t="s">
        <v>107</v>
      </c>
      <c r="B49" s="7"/>
      <c r="C49" s="55"/>
      <c r="D49" s="8"/>
      <c r="E49" s="8"/>
      <c r="F49" s="8"/>
      <c r="G49" s="8"/>
      <c r="H49" s="39"/>
    </row>
    <row r="50" spans="1:9">
      <c r="A50" s="26"/>
      <c r="B50" s="7" t="str">
        <f>IF(ISBLANK(A50),"",VLOOKUP(A50,$A$128:$H$148,2,FALSE)+ROUNDUP(IF(ISNUMBER(VLOOKUP("Assassin",$A$106:$B$126,2,FALSE)),VLOOKUP("Assassin",$A$106:$B$126,2,FALSE))/3,0))</f>
        <v/>
      </c>
      <c r="C50" s="46"/>
      <c r="D50" s="7">
        <v>6</v>
      </c>
      <c r="E50" s="7" t="str">
        <f>IF(ISBLANK(A50),"",CONCATENATE("1D6+(",C50,")"))</f>
        <v/>
      </c>
      <c r="F50" s="7" t="str">
        <f>IF(ISBLANK(A50),"",CONCATENATE("1D10+(",C50+ROUNDUP(B50/2,0),")"))</f>
        <v/>
      </c>
      <c r="G50" s="7" t="str">
        <f>IF(ISBLANK(A50),"",CONCATENATE(2,"D10+(",C50+B50,")"))</f>
        <v/>
      </c>
      <c r="H50" s="27"/>
      <c r="I50" t="s">
        <v>169</v>
      </c>
    </row>
    <row r="51" spans="1:9">
      <c r="A51" s="73"/>
      <c r="B51" s="7" t="str">
        <f t="shared" ref="B51:B56" si="7">IF(ISBLANK(A51),"",VLOOKUP(A51,$A$128:$H$148,2,FALSE)+ROUNDUP(IF(ISNUMBER(VLOOKUP("Assassin",$A$106:$B$126,2,FALSE)),VLOOKUP("Assassin",$A$106:$B$126,2,FALSE))/3,0))</f>
        <v/>
      </c>
      <c r="C51" s="46"/>
      <c r="D51" s="7"/>
      <c r="E51" s="7" t="str">
        <f>IF(ISBLANK(A51),"",CONCATENATE("1D6+(",C51,")"))</f>
        <v/>
      </c>
      <c r="F51" s="7" t="str">
        <f>IF(ISBLANK(A51),"",CONCATENATE("1D10+(",C51+ROUNDUP(B51/2,0),")"))</f>
        <v/>
      </c>
      <c r="G51" s="7" t="str">
        <f>IF(ISBLANK(A51),"",CONCATENATE(2,"D10+(",C51+B51,")"))</f>
        <v/>
      </c>
      <c r="H51" s="27"/>
    </row>
    <row r="52" spans="1:9">
      <c r="A52" s="73"/>
      <c r="B52" s="7" t="str">
        <f t="shared" si="7"/>
        <v/>
      </c>
      <c r="C52" s="46"/>
      <c r="D52" s="7"/>
      <c r="E52" s="7" t="str">
        <f t="shared" ref="E52:E54" si="8">IF(ISBLANK(A52),"",CONCATENATE("1D6+(",C52,")"))</f>
        <v/>
      </c>
      <c r="F52" s="7" t="str">
        <f t="shared" ref="F52:F54" si="9">IF(ISBLANK(A52),"",CONCATENATE("1D10+(",C52+ROUNDUP(B52/2,0),")"))</f>
        <v/>
      </c>
      <c r="G52" s="7" t="str">
        <f t="shared" ref="G52:G54" si="10">IF(ISBLANK(A52),"",CONCATENATE(2,"D10+(",C52+B52,")"))</f>
        <v/>
      </c>
      <c r="H52" s="27"/>
    </row>
    <row r="53" spans="1:9">
      <c r="A53" s="65"/>
      <c r="B53" s="7" t="str">
        <f t="shared" si="7"/>
        <v/>
      </c>
      <c r="C53" s="46"/>
      <c r="D53" s="7"/>
      <c r="E53" s="7" t="str">
        <f t="shared" si="8"/>
        <v/>
      </c>
      <c r="F53" s="7" t="str">
        <f t="shared" si="9"/>
        <v/>
      </c>
      <c r="G53" s="7" t="str">
        <f t="shared" si="10"/>
        <v/>
      </c>
      <c r="H53" s="27"/>
    </row>
    <row r="54" spans="1:9">
      <c r="A54" s="73"/>
      <c r="B54" s="7" t="str">
        <f t="shared" si="7"/>
        <v/>
      </c>
      <c r="C54" s="46"/>
      <c r="D54" s="7"/>
      <c r="E54" s="7" t="str">
        <f t="shared" si="8"/>
        <v/>
      </c>
      <c r="F54" s="7" t="str">
        <f t="shared" si="9"/>
        <v/>
      </c>
      <c r="G54" s="7" t="str">
        <f t="shared" si="10"/>
        <v/>
      </c>
      <c r="H54" s="27"/>
    </row>
    <row r="55" spans="1:9">
      <c r="A55" s="73"/>
      <c r="B55" s="7" t="str">
        <f t="shared" si="7"/>
        <v/>
      </c>
      <c r="C55" s="46"/>
      <c r="D55" s="7"/>
      <c r="E55" s="7" t="str">
        <f>IF(ISBLANK(A55),"",CONCATENATE("1D6+(",C55,")"))</f>
        <v/>
      </c>
      <c r="F55" s="7" t="str">
        <f>IF(ISBLANK(A55),"",CONCATENATE("1D10+(",C55+ROUNDUP(B55/2,0),")"))</f>
        <v/>
      </c>
      <c r="G55" s="7" t="str">
        <f>IF(ISBLANK(A55),"",CONCATENATE(2,"D10+(",C55+B55,")"))</f>
        <v/>
      </c>
      <c r="H55" s="27"/>
    </row>
    <row r="56" spans="1:9" ht="13.8" thickBot="1">
      <c r="A56" s="79"/>
      <c r="B56" s="7" t="str">
        <f t="shared" si="7"/>
        <v/>
      </c>
      <c r="C56" s="48"/>
      <c r="D56" s="37"/>
      <c r="E56" s="37" t="str">
        <f>IF(ISBLANK(A56),"",CONCATENATE("1D6+(",C56,")"))</f>
        <v/>
      </c>
      <c r="F56" s="37" t="str">
        <f>IF(ISBLANK(A56),"",CONCATENATE("1D10+(",C56+ROUNDUP(B56/2,0),")"))</f>
        <v/>
      </c>
      <c r="G56" s="37" t="str">
        <f>IF(ISBLANK(A56),"",CONCATENATE(2,"D10+(",C56+B56,")"))</f>
        <v/>
      </c>
      <c r="H56" s="38"/>
    </row>
    <row r="57" spans="1:9" ht="26.4">
      <c r="A57" s="50" t="s">
        <v>107</v>
      </c>
      <c r="B57" s="49" t="s">
        <v>108</v>
      </c>
      <c r="C57" s="49" t="s">
        <v>103</v>
      </c>
      <c r="D57" s="49" t="s">
        <v>104</v>
      </c>
      <c r="E57" s="49" t="s">
        <v>109</v>
      </c>
      <c r="F57" s="49" t="s">
        <v>105</v>
      </c>
      <c r="G57" s="49" t="s">
        <v>110</v>
      </c>
      <c r="H57" s="51" t="s">
        <v>111</v>
      </c>
    </row>
    <row r="58" spans="1:9">
      <c r="A58" s="26"/>
      <c r="B58" s="7" t="str">
        <f t="shared" ref="B58:B64" si="11">IF(ISBLANK(A58),"",VLOOKUP($A58,RangedWeapons,7,FALSE))</f>
        <v/>
      </c>
      <c r="C58" s="7" t="str">
        <f>IF(ISBLANK(A58),"",ROUNDDOWN(B58/10,0))</f>
        <v/>
      </c>
      <c r="D58" s="46" t="str">
        <f>IF(ISBLANK(A58),"",CONCATENATE((C58+1),"-",(ROUNDDOWN(B58/4,0))))</f>
        <v/>
      </c>
      <c r="E58" s="46" t="str">
        <f>IF(ISBLANK(A58),"",CONCATENATE((ROUNDDOWN(B58/4,0)+1),"-",ROUNDUP(B58/2,0)))</f>
        <v/>
      </c>
      <c r="F58" s="46" t="str">
        <f>IF(ISBLANK(A58),"",CONCATENATE((ROUNDUP(B58/2,)),"-",B58))</f>
        <v/>
      </c>
      <c r="G58" s="46" t="str">
        <f>IF(ISBLANK(A58),"",IF(H58="Y",CONCATENATE(B58+1,"-",B58*2),""))</f>
        <v/>
      </c>
      <c r="H58" s="96" t="str">
        <f t="shared" ref="H58:H64" si="12">IF(ISBLANK(A58),"",VLOOKUP($A58,RangedWeapons,6,FALSE))</f>
        <v/>
      </c>
    </row>
    <row r="59" spans="1:9">
      <c r="A59" s="26"/>
      <c r="B59" s="7" t="str">
        <f t="shared" si="11"/>
        <v/>
      </c>
      <c r="C59" s="7" t="str">
        <f t="shared" ref="C59:C64" si="13">IF(ISBLANK(A59),"",ROUNDDOWN(B59/10,0))</f>
        <v/>
      </c>
      <c r="D59" s="46" t="str">
        <f t="shared" ref="D59:D64" si="14">IF(ISBLANK(A59),"",CONCATENATE((C59+1),"-",(ROUNDDOWN(B59/4,0))))</f>
        <v/>
      </c>
      <c r="E59" s="46" t="str">
        <f t="shared" ref="E59:E64" si="15">IF(ISBLANK(A59),"",CONCATENATE((ROUNDDOWN(B59/4,0)+1),"-",ROUNDUP(B59/2,0)))</f>
        <v/>
      </c>
      <c r="F59" s="46" t="str">
        <f t="shared" ref="F59:F64" si="16">IF(ISBLANK(A59),"",CONCATENATE((ROUNDUP(B59/2,)),"-",B59))</f>
        <v/>
      </c>
      <c r="G59" s="46" t="str">
        <f t="shared" ref="G59:G64" si="17">IF(ISBLANK(A59),"",IF(H59="Y",CONCATENATE(B59+1,"-",B59*2),""))</f>
        <v/>
      </c>
      <c r="H59" s="96" t="str">
        <f t="shared" si="12"/>
        <v/>
      </c>
    </row>
    <row r="60" spans="1:9">
      <c r="A60" s="73"/>
      <c r="B60" s="7" t="str">
        <f t="shared" si="11"/>
        <v/>
      </c>
      <c r="C60" s="7" t="str">
        <f t="shared" si="13"/>
        <v/>
      </c>
      <c r="D60" s="46" t="str">
        <f t="shared" si="14"/>
        <v/>
      </c>
      <c r="E60" s="46" t="str">
        <f t="shared" si="15"/>
        <v/>
      </c>
      <c r="F60" s="46" t="str">
        <f t="shared" si="16"/>
        <v/>
      </c>
      <c r="G60" s="46" t="str">
        <f t="shared" si="17"/>
        <v/>
      </c>
      <c r="H60" s="96" t="str">
        <f t="shared" si="12"/>
        <v/>
      </c>
    </row>
    <row r="61" spans="1:9">
      <c r="A61" s="73"/>
      <c r="B61" s="7" t="str">
        <f t="shared" si="11"/>
        <v/>
      </c>
      <c r="C61" s="7" t="str">
        <f t="shared" si="13"/>
        <v/>
      </c>
      <c r="D61" s="46" t="str">
        <f t="shared" si="14"/>
        <v/>
      </c>
      <c r="E61" s="46" t="str">
        <f t="shared" si="15"/>
        <v/>
      </c>
      <c r="F61" s="46" t="str">
        <f t="shared" si="16"/>
        <v/>
      </c>
      <c r="G61" s="46" t="str">
        <f t="shared" si="17"/>
        <v/>
      </c>
      <c r="H61" s="96" t="str">
        <f t="shared" si="12"/>
        <v/>
      </c>
    </row>
    <row r="62" spans="1:9">
      <c r="A62" s="65"/>
      <c r="B62" s="7" t="str">
        <f t="shared" si="11"/>
        <v/>
      </c>
      <c r="C62" s="7" t="str">
        <f t="shared" si="13"/>
        <v/>
      </c>
      <c r="D62" s="46" t="str">
        <f t="shared" si="14"/>
        <v/>
      </c>
      <c r="E62" s="46" t="str">
        <f t="shared" si="15"/>
        <v/>
      </c>
      <c r="F62" s="46" t="str">
        <f t="shared" si="16"/>
        <v/>
      </c>
      <c r="G62" s="46" t="str">
        <f t="shared" si="17"/>
        <v/>
      </c>
      <c r="H62" s="96" t="str">
        <f t="shared" si="12"/>
        <v/>
      </c>
    </row>
    <row r="63" spans="1:9">
      <c r="A63" s="73"/>
      <c r="B63" s="7" t="str">
        <f t="shared" si="11"/>
        <v/>
      </c>
      <c r="C63" s="7" t="str">
        <f t="shared" si="13"/>
        <v/>
      </c>
      <c r="D63" s="46" t="str">
        <f t="shared" si="14"/>
        <v/>
      </c>
      <c r="E63" s="46" t="str">
        <f t="shared" si="15"/>
        <v/>
      </c>
      <c r="F63" s="46" t="str">
        <f t="shared" si="16"/>
        <v/>
      </c>
      <c r="G63" s="46" t="str">
        <f t="shared" si="17"/>
        <v/>
      </c>
      <c r="H63" s="96" t="str">
        <f t="shared" si="12"/>
        <v/>
      </c>
    </row>
    <row r="64" spans="1:9">
      <c r="A64" s="78"/>
      <c r="B64" s="9" t="str">
        <f t="shared" si="11"/>
        <v/>
      </c>
      <c r="C64" s="9" t="str">
        <f t="shared" si="13"/>
        <v/>
      </c>
      <c r="D64" s="80" t="str">
        <f t="shared" si="14"/>
        <v/>
      </c>
      <c r="E64" s="80" t="str">
        <f t="shared" si="15"/>
        <v/>
      </c>
      <c r="F64" s="80" t="str">
        <f t="shared" si="16"/>
        <v/>
      </c>
      <c r="G64" s="80" t="str">
        <f t="shared" si="17"/>
        <v/>
      </c>
      <c r="H64" s="81" t="str">
        <f t="shared" si="12"/>
        <v/>
      </c>
    </row>
    <row r="65" spans="1:15">
      <c r="A65" s="26" t="s">
        <v>113</v>
      </c>
      <c r="B65" s="8"/>
      <c r="C65" s="53" t="s">
        <v>103</v>
      </c>
      <c r="D65" s="53" t="s">
        <v>104</v>
      </c>
      <c r="E65" s="53" t="s">
        <v>109</v>
      </c>
      <c r="F65" s="53" t="s">
        <v>105</v>
      </c>
      <c r="G65" s="131" t="s">
        <v>110</v>
      </c>
      <c r="H65" s="132"/>
    </row>
    <row r="66" spans="1:15">
      <c r="A66" s="26"/>
      <c r="B66" s="8"/>
      <c r="C66" s="7" t="str">
        <f>IF(ISBLANK(A66),"",VLOOKUP($A66,RangedWeapons,2,FALSE))</f>
        <v/>
      </c>
      <c r="D66" s="7" t="str">
        <f>IF(ISBLANK(A66),"",VLOOKUP($A66,RangedWeapons,3,FALSE))</f>
        <v/>
      </c>
      <c r="E66" s="7" t="str">
        <f>IF(ISBLANK(A66),"",VLOOKUP($A66,RangedWeapons,4,FALSE))</f>
        <v/>
      </c>
      <c r="F66" s="7" t="str">
        <f>IF(ISBLANK(A66),"",VLOOKUP($A66,RangedWeapons,5,FALSE))</f>
        <v/>
      </c>
      <c r="G66" s="117" t="str">
        <f>IF(ISBLANK(A66),"",IF(VLOOKUP(A66,RangedWeapons,6,FALSE)="Y",CONCATENATE(F66," Roll+1/hex"),"-"))</f>
        <v/>
      </c>
      <c r="H66" s="118"/>
    </row>
    <row r="67" spans="1:15">
      <c r="A67" s="26"/>
      <c r="B67" s="8"/>
      <c r="C67" s="7" t="str">
        <f>IF(ISBLANK(A67),"",VLOOKUP($A67,RangedWeapons,2,FALSE))</f>
        <v/>
      </c>
      <c r="D67" s="7" t="str">
        <f>IF(ISBLANK(A67),"",VLOOKUP($A67,RangedWeapons,3,FALSE))</f>
        <v/>
      </c>
      <c r="E67" s="7" t="str">
        <f>IF(ISBLANK(A67),"",VLOOKUP($A67,RangedWeapons,4,FALSE))</f>
        <v/>
      </c>
      <c r="F67" s="7" t="str">
        <f>IF(ISBLANK(A67),"",VLOOKUP($A67,RangedWeapons,5,FALSE))</f>
        <v/>
      </c>
      <c r="G67" s="117" t="str">
        <f>IF(ISBLANK(A67),"",IF(VLOOKUP(A67,RangedWeapons,6,FALSE)="Y",CONCATENATE(F67," Roll+1/hex"),"-"))</f>
        <v/>
      </c>
      <c r="H67" s="118"/>
    </row>
    <row r="68" spans="1:15">
      <c r="A68" s="73"/>
      <c r="B68" s="8"/>
      <c r="C68" s="7" t="str">
        <f>IF(ISBLANK(A68),"",VLOOKUP($A68,RangedWeapons,2,FALSE))</f>
        <v/>
      </c>
      <c r="D68" s="7" t="str">
        <f>IF(ISBLANK(A68),"",VLOOKUP($A68,RangedWeapons,3,FALSE))</f>
        <v/>
      </c>
      <c r="E68" s="7" t="str">
        <f>IF(ISBLANK(A68),"",VLOOKUP($A68,RangedWeapons,4,FALSE))</f>
        <v/>
      </c>
      <c r="F68" s="7" t="str">
        <f>IF(ISBLANK(A68),"",VLOOKUP($A68,RangedWeapons,5,FALSE))</f>
        <v/>
      </c>
      <c r="G68" s="117" t="str">
        <f>IF(ISBLANK(A68),"",IF(VLOOKUP(A68,RangedWeapons,6,FALSE)="Y",CONCATENATE(F68," Roll+1/hex"),"-"))</f>
        <v/>
      </c>
      <c r="H68" s="118"/>
    </row>
    <row r="69" spans="1:15">
      <c r="A69" s="26"/>
      <c r="B69" s="8"/>
      <c r="C69" s="7" t="str">
        <f>IF(ISBLANK(A69),"",VLOOKUP($A69,RangedWeapons,2,FALSE))</f>
        <v/>
      </c>
      <c r="D69" s="7" t="str">
        <f>IF(ISBLANK(A69),"",VLOOKUP($A69,RangedWeapons,3,FALSE))</f>
        <v/>
      </c>
      <c r="E69" s="7" t="str">
        <f>IF(ISBLANK(A69),"",VLOOKUP($A69,RangedWeapons,4,FALSE))</f>
        <v/>
      </c>
      <c r="F69" s="7" t="str">
        <f>IF(ISBLANK(A69),"",VLOOKUP($A69,RangedWeapons,5,FALSE))</f>
        <v/>
      </c>
      <c r="G69" s="117" t="str">
        <f>IF(ISBLANK(A69),"",IF(VLOOKUP(A69,RangedWeapons,6,FALSE)="Y",CONCATENATE(F69," Roll+1/hex"),"-"))</f>
        <v/>
      </c>
      <c r="H69" s="118"/>
    </row>
    <row r="70" spans="1:15" ht="13.8" thickBot="1">
      <c r="A70" s="34"/>
      <c r="B70" s="52"/>
      <c r="C70" s="37" t="str">
        <f>IF(ISBLANK(A70),"",VLOOKUP($A70,RangedWeapons,2,FALSE))</f>
        <v/>
      </c>
      <c r="D70" s="37" t="str">
        <f>IF(ISBLANK(A70),"",VLOOKUP($A70,RangedWeapons,3,FALSE))</f>
        <v/>
      </c>
      <c r="E70" s="37" t="str">
        <f>IF(ISBLANK(A70),"",VLOOKUP($A70,RangedWeapons,4,FALSE))</f>
        <v/>
      </c>
      <c r="F70" s="37" t="str">
        <f>IF(ISBLANK(A70),"",VLOOKUP($A70,RangedWeapons,5,FALSE))</f>
        <v/>
      </c>
      <c r="G70" s="112" t="str">
        <f>IF(ISBLANK(A70),"",IF(VLOOKUP(A70,RangedWeapons,6,FALSE)="Y",CONCATENATE(F70," Roll+1/hex"),"-"))</f>
        <v/>
      </c>
      <c r="H70" s="113"/>
    </row>
    <row r="71" spans="1:15">
      <c r="A71" s="56" t="s">
        <v>135</v>
      </c>
      <c r="B71" s="24"/>
      <c r="C71" s="106" t="s">
        <v>342</v>
      </c>
      <c r="D71" s="24" t="str">
        <f>IF(ISBLANK(B20),"",IF(B20="Wizardry",ROUNDDOWN((CurIntelligence+MEL)/10,0),IF(OR(B20="Shaman",B20="Shadow"),ROUNDDOWN((CurWill+MEL)/10,0),IF(B20="Sidh",ROUNDDOWN((CurEmpathy+MEL)/10,0),ROUNDDOWN((CurWill+CurEmpathy+MEL)/15,0)))))</f>
        <v/>
      </c>
      <c r="E71" s="24"/>
      <c r="F71" s="24"/>
      <c r="G71" s="24"/>
      <c r="H71" s="25"/>
    </row>
    <row r="72" spans="1:15" ht="26.4">
      <c r="A72" s="33" t="s">
        <v>136</v>
      </c>
      <c r="B72" s="57" t="s">
        <v>137</v>
      </c>
      <c r="C72" s="57" t="s">
        <v>91</v>
      </c>
      <c r="D72" s="57" t="s">
        <v>138</v>
      </c>
      <c r="E72" s="57" t="s">
        <v>139</v>
      </c>
      <c r="F72" s="57" t="s">
        <v>140</v>
      </c>
      <c r="G72" s="57" t="s">
        <v>141</v>
      </c>
      <c r="H72" s="58" t="s">
        <v>172</v>
      </c>
      <c r="I72" s="60" t="s">
        <v>142</v>
      </c>
      <c r="J72" s="111" t="str">
        <f>IF(ISBLANK(B21),"",IF(ISERROR(VLOOKUP(B21,'Set Values'!N2:O6,2,FALSE)),"",VLOOKUP(B21,'Set Values'!N2:O6,2,FALSE)))</f>
        <v/>
      </c>
      <c r="K72" s="111"/>
      <c r="L72" s="111"/>
      <c r="M72" s="111"/>
      <c r="N72" s="111"/>
      <c r="O72" s="111"/>
    </row>
    <row r="73" spans="1:15">
      <c r="A73" s="33"/>
      <c r="B73" s="7"/>
      <c r="C73" s="7"/>
      <c r="D73" s="7" t="str">
        <f>IF(ISBLANK(A73),"",ROUNDUP(($B$23+C73)/2,0)+IF($B$20="Shamanism",IF(A73&lt;&gt;"Orient Self",VLOOKUP("Orient Self",$A$73:$D$104,4,FALSE),0)))</f>
        <v/>
      </c>
      <c r="E73" s="7" t="str">
        <f>IF(ISBLANK(A73),"",B73+C73*2)</f>
        <v/>
      </c>
      <c r="F73" s="7" t="str">
        <f t="shared" ref="F73:F104" si="18">IF(ISBLANK(A73),"",IF(C73&lt;MaxMagicEL,E73*(C73+1+3),"-"))</f>
        <v/>
      </c>
      <c r="G73" s="7"/>
      <c r="H73" s="27"/>
    </row>
    <row r="74" spans="1:15">
      <c r="A74" s="33"/>
      <c r="B74" s="7"/>
      <c r="C74" s="7"/>
      <c r="D74" s="7" t="str">
        <f t="shared" ref="D74:D103" si="19">IF(ISBLANK(A74),"",ROUNDUP(($B$23+C74)/2,0)+IF($B$20="Shamanism",IF(A74&lt;&gt;"Orient Self",VLOOKUP("Orient Self",$A$73:$D$104,4,FALSE),0)))</f>
        <v/>
      </c>
      <c r="E74" s="7" t="str">
        <f t="shared" ref="E74:E104" si="20">IF(ISBLANK(A74),"",B74+C74*2)</f>
        <v/>
      </c>
      <c r="F74" s="7" t="str">
        <f t="shared" si="18"/>
        <v/>
      </c>
      <c r="G74" s="7"/>
      <c r="H74" s="27"/>
    </row>
    <row r="75" spans="1:15">
      <c r="A75" s="33"/>
      <c r="B75" s="7"/>
      <c r="C75" s="7"/>
      <c r="D75" s="7" t="str">
        <f t="shared" si="19"/>
        <v/>
      </c>
      <c r="E75" s="7" t="str">
        <f t="shared" si="20"/>
        <v/>
      </c>
      <c r="F75" s="7" t="str">
        <f t="shared" si="18"/>
        <v/>
      </c>
      <c r="G75" s="7"/>
      <c r="H75" s="27"/>
    </row>
    <row r="76" spans="1:15">
      <c r="A76" s="33"/>
      <c r="B76" s="7"/>
      <c r="C76" s="7"/>
      <c r="D76" s="7" t="str">
        <f t="shared" si="19"/>
        <v/>
      </c>
      <c r="E76" s="7" t="str">
        <f t="shared" si="20"/>
        <v/>
      </c>
      <c r="F76" s="7" t="str">
        <f t="shared" si="18"/>
        <v/>
      </c>
      <c r="G76" s="7"/>
      <c r="H76" s="27"/>
    </row>
    <row r="77" spans="1:15">
      <c r="A77" s="33"/>
      <c r="B77" s="7"/>
      <c r="C77" s="7"/>
      <c r="D77" s="7" t="str">
        <f t="shared" si="19"/>
        <v/>
      </c>
      <c r="E77" s="7" t="str">
        <f t="shared" si="20"/>
        <v/>
      </c>
      <c r="F77" s="7" t="str">
        <f t="shared" si="18"/>
        <v/>
      </c>
      <c r="G77" s="7"/>
      <c r="H77" s="27"/>
    </row>
    <row r="78" spans="1:15">
      <c r="A78" s="33"/>
      <c r="B78" s="7"/>
      <c r="C78" s="7"/>
      <c r="D78" s="7" t="str">
        <f t="shared" si="19"/>
        <v/>
      </c>
      <c r="E78" s="7" t="str">
        <f t="shared" si="20"/>
        <v/>
      </c>
      <c r="F78" s="7" t="str">
        <f t="shared" si="18"/>
        <v/>
      </c>
      <c r="G78" s="7"/>
      <c r="H78" s="27"/>
    </row>
    <row r="79" spans="1:15">
      <c r="A79" s="33"/>
      <c r="B79" s="7"/>
      <c r="C79" s="7"/>
      <c r="D79" s="7" t="str">
        <f t="shared" si="19"/>
        <v/>
      </c>
      <c r="E79" s="7" t="str">
        <f t="shared" si="20"/>
        <v/>
      </c>
      <c r="F79" s="7" t="str">
        <f t="shared" si="18"/>
        <v/>
      </c>
      <c r="G79" s="7"/>
      <c r="H79" s="27"/>
    </row>
    <row r="80" spans="1:15">
      <c r="A80" s="33"/>
      <c r="B80" s="7"/>
      <c r="C80" s="7"/>
      <c r="D80" s="7" t="str">
        <f t="shared" si="19"/>
        <v/>
      </c>
      <c r="E80" s="7" t="str">
        <f t="shared" si="20"/>
        <v/>
      </c>
      <c r="F80" s="7" t="str">
        <f t="shared" si="18"/>
        <v/>
      </c>
      <c r="G80" s="7"/>
      <c r="H80" s="27"/>
    </row>
    <row r="81" spans="1:8">
      <c r="A81" s="33"/>
      <c r="B81" s="7"/>
      <c r="C81" s="7"/>
      <c r="D81" s="7" t="str">
        <f t="shared" si="19"/>
        <v/>
      </c>
      <c r="E81" s="7" t="str">
        <f t="shared" si="20"/>
        <v/>
      </c>
      <c r="F81" s="7" t="str">
        <f t="shared" si="18"/>
        <v/>
      </c>
      <c r="G81" s="7"/>
      <c r="H81" s="27"/>
    </row>
    <row r="82" spans="1:8">
      <c r="A82" s="33"/>
      <c r="B82" s="7"/>
      <c r="C82" s="7"/>
      <c r="D82" s="7" t="str">
        <f t="shared" si="19"/>
        <v/>
      </c>
      <c r="E82" s="7" t="str">
        <f t="shared" si="20"/>
        <v/>
      </c>
      <c r="F82" s="7" t="str">
        <f t="shared" si="18"/>
        <v/>
      </c>
      <c r="G82" s="7"/>
      <c r="H82" s="27"/>
    </row>
    <row r="83" spans="1:8">
      <c r="A83" s="33"/>
      <c r="B83" s="7"/>
      <c r="C83" s="7"/>
      <c r="D83" s="7" t="str">
        <f t="shared" si="19"/>
        <v/>
      </c>
      <c r="E83" s="7" t="str">
        <f t="shared" si="20"/>
        <v/>
      </c>
      <c r="F83" s="7" t="str">
        <f t="shared" si="18"/>
        <v/>
      </c>
      <c r="G83" s="7"/>
      <c r="H83" s="27"/>
    </row>
    <row r="84" spans="1:8">
      <c r="A84" s="33"/>
      <c r="B84" s="7"/>
      <c r="C84" s="7"/>
      <c r="D84" s="7" t="str">
        <f t="shared" si="19"/>
        <v/>
      </c>
      <c r="E84" s="7" t="str">
        <f t="shared" si="20"/>
        <v/>
      </c>
      <c r="F84" s="7" t="str">
        <f t="shared" si="18"/>
        <v/>
      </c>
      <c r="G84" s="7"/>
      <c r="H84" s="27"/>
    </row>
    <row r="85" spans="1:8">
      <c r="A85" s="33"/>
      <c r="B85" s="7"/>
      <c r="C85" s="7"/>
      <c r="D85" s="7" t="str">
        <f t="shared" si="19"/>
        <v/>
      </c>
      <c r="E85" s="7" t="str">
        <f t="shared" si="20"/>
        <v/>
      </c>
      <c r="F85" s="7" t="str">
        <f t="shared" si="18"/>
        <v/>
      </c>
      <c r="G85" s="7"/>
      <c r="H85" s="27"/>
    </row>
    <row r="86" spans="1:8">
      <c r="A86" s="33"/>
      <c r="B86" s="7"/>
      <c r="C86" s="7"/>
      <c r="D86" s="7" t="str">
        <f t="shared" si="19"/>
        <v/>
      </c>
      <c r="E86" s="7" t="str">
        <f t="shared" si="20"/>
        <v/>
      </c>
      <c r="F86" s="7" t="str">
        <f t="shared" si="18"/>
        <v/>
      </c>
      <c r="G86" s="7"/>
      <c r="H86" s="27"/>
    </row>
    <row r="87" spans="1:8">
      <c r="A87" s="33"/>
      <c r="B87" s="7"/>
      <c r="C87" s="7"/>
      <c r="D87" s="7" t="str">
        <f t="shared" si="19"/>
        <v/>
      </c>
      <c r="E87" s="7" t="str">
        <f t="shared" si="20"/>
        <v/>
      </c>
      <c r="F87" s="7" t="str">
        <f t="shared" si="18"/>
        <v/>
      </c>
      <c r="G87" s="7"/>
      <c r="H87" s="27"/>
    </row>
    <row r="88" spans="1:8">
      <c r="A88" s="33"/>
      <c r="B88" s="7"/>
      <c r="C88" s="7"/>
      <c r="D88" s="7" t="str">
        <f t="shared" si="19"/>
        <v/>
      </c>
      <c r="E88" s="7" t="str">
        <f t="shared" si="20"/>
        <v/>
      </c>
      <c r="F88" s="7" t="str">
        <f t="shared" si="18"/>
        <v/>
      </c>
      <c r="G88" s="7"/>
      <c r="H88" s="27"/>
    </row>
    <row r="89" spans="1:8">
      <c r="A89" s="33"/>
      <c r="B89" s="7"/>
      <c r="C89" s="7"/>
      <c r="D89" s="7" t="str">
        <f t="shared" si="19"/>
        <v/>
      </c>
      <c r="E89" s="7" t="str">
        <f t="shared" si="20"/>
        <v/>
      </c>
      <c r="F89" s="7" t="str">
        <f t="shared" si="18"/>
        <v/>
      </c>
      <c r="G89" s="7"/>
      <c r="H89" s="27"/>
    </row>
    <row r="90" spans="1:8">
      <c r="A90" s="33"/>
      <c r="B90" s="7"/>
      <c r="C90" s="7"/>
      <c r="D90" s="7" t="str">
        <f t="shared" si="19"/>
        <v/>
      </c>
      <c r="E90" s="7" t="str">
        <f t="shared" si="20"/>
        <v/>
      </c>
      <c r="F90" s="7" t="str">
        <f t="shared" si="18"/>
        <v/>
      </c>
      <c r="G90" s="7"/>
      <c r="H90" s="27"/>
    </row>
    <row r="91" spans="1:8">
      <c r="A91" s="33"/>
      <c r="B91" s="7"/>
      <c r="C91" s="7"/>
      <c r="D91" s="7" t="str">
        <f t="shared" si="19"/>
        <v/>
      </c>
      <c r="E91" s="7" t="str">
        <f t="shared" si="20"/>
        <v/>
      </c>
      <c r="F91" s="7" t="str">
        <f t="shared" si="18"/>
        <v/>
      </c>
      <c r="G91" s="7"/>
      <c r="H91" s="27"/>
    </row>
    <row r="92" spans="1:8">
      <c r="A92" s="33"/>
      <c r="B92" s="7"/>
      <c r="C92" s="7"/>
      <c r="D92" s="7" t="str">
        <f t="shared" si="19"/>
        <v/>
      </c>
      <c r="E92" s="7" t="str">
        <f t="shared" si="20"/>
        <v/>
      </c>
      <c r="F92" s="7" t="str">
        <f t="shared" si="18"/>
        <v/>
      </c>
      <c r="G92" s="7"/>
      <c r="H92" s="27"/>
    </row>
    <row r="93" spans="1:8">
      <c r="A93" s="33"/>
      <c r="B93" s="7"/>
      <c r="C93" s="7"/>
      <c r="D93" s="7" t="str">
        <f t="shared" si="19"/>
        <v/>
      </c>
      <c r="E93" s="7" t="str">
        <f t="shared" si="20"/>
        <v/>
      </c>
      <c r="F93" s="7" t="str">
        <f t="shared" si="18"/>
        <v/>
      </c>
      <c r="G93" s="7"/>
      <c r="H93" s="27"/>
    </row>
    <row r="94" spans="1:8">
      <c r="A94" s="33"/>
      <c r="B94" s="7"/>
      <c r="C94" s="7"/>
      <c r="D94" s="7" t="str">
        <f t="shared" si="19"/>
        <v/>
      </c>
      <c r="E94" s="7" t="str">
        <f t="shared" si="20"/>
        <v/>
      </c>
      <c r="F94" s="7" t="str">
        <f t="shared" si="18"/>
        <v/>
      </c>
      <c r="G94" s="7"/>
      <c r="H94" s="27"/>
    </row>
    <row r="95" spans="1:8">
      <c r="A95" s="33"/>
      <c r="B95" s="7"/>
      <c r="C95" s="7"/>
      <c r="D95" s="7" t="str">
        <f t="shared" si="19"/>
        <v/>
      </c>
      <c r="E95" s="7" t="str">
        <f t="shared" si="20"/>
        <v/>
      </c>
      <c r="F95" s="7" t="str">
        <f t="shared" si="18"/>
        <v/>
      </c>
      <c r="G95" s="7"/>
      <c r="H95" s="27"/>
    </row>
    <row r="96" spans="1:8">
      <c r="A96" s="33"/>
      <c r="B96" s="7"/>
      <c r="C96" s="7"/>
      <c r="D96" s="7" t="str">
        <f t="shared" si="19"/>
        <v/>
      </c>
      <c r="E96" s="7" t="str">
        <f t="shared" si="20"/>
        <v/>
      </c>
      <c r="F96" s="7" t="str">
        <f t="shared" si="18"/>
        <v/>
      </c>
      <c r="G96" s="7"/>
      <c r="H96" s="27"/>
    </row>
    <row r="97" spans="1:11">
      <c r="A97" s="33"/>
      <c r="B97" s="7"/>
      <c r="C97" s="7"/>
      <c r="D97" s="7" t="str">
        <f t="shared" si="19"/>
        <v/>
      </c>
      <c r="E97" s="7" t="str">
        <f t="shared" si="20"/>
        <v/>
      </c>
      <c r="F97" s="7" t="str">
        <f t="shared" si="18"/>
        <v/>
      </c>
      <c r="G97" s="7"/>
      <c r="H97" s="27"/>
    </row>
    <row r="98" spans="1:11">
      <c r="A98" s="33"/>
      <c r="B98" s="7"/>
      <c r="C98" s="7"/>
      <c r="D98" s="7" t="str">
        <f t="shared" si="19"/>
        <v/>
      </c>
      <c r="E98" s="7" t="str">
        <f t="shared" si="20"/>
        <v/>
      </c>
      <c r="F98" s="7" t="str">
        <f t="shared" si="18"/>
        <v/>
      </c>
      <c r="G98" s="7"/>
      <c r="H98" s="27"/>
    </row>
    <row r="99" spans="1:11">
      <c r="A99" s="33"/>
      <c r="B99" s="7"/>
      <c r="C99" s="7"/>
      <c r="D99" s="7" t="str">
        <f t="shared" si="19"/>
        <v/>
      </c>
      <c r="E99" s="7" t="str">
        <f t="shared" si="20"/>
        <v/>
      </c>
      <c r="F99" s="7" t="str">
        <f t="shared" si="18"/>
        <v/>
      </c>
      <c r="G99" s="7"/>
      <c r="H99" s="27"/>
    </row>
    <row r="100" spans="1:11">
      <c r="A100" s="33"/>
      <c r="B100" s="7"/>
      <c r="C100" s="7"/>
      <c r="D100" s="7" t="str">
        <f t="shared" si="19"/>
        <v/>
      </c>
      <c r="E100" s="7" t="str">
        <f t="shared" si="20"/>
        <v/>
      </c>
      <c r="F100" s="7" t="str">
        <f t="shared" si="18"/>
        <v/>
      </c>
      <c r="G100" s="7"/>
      <c r="H100" s="27"/>
    </row>
    <row r="101" spans="1:11">
      <c r="A101" s="33"/>
      <c r="B101" s="7"/>
      <c r="C101" s="7"/>
      <c r="D101" s="7" t="str">
        <f t="shared" si="19"/>
        <v/>
      </c>
      <c r="E101" s="7" t="str">
        <f t="shared" si="20"/>
        <v/>
      </c>
      <c r="F101" s="7" t="str">
        <f t="shared" si="18"/>
        <v/>
      </c>
      <c r="G101" s="7"/>
      <c r="H101" s="27"/>
    </row>
    <row r="102" spans="1:11">
      <c r="A102" s="33"/>
      <c r="B102" s="7"/>
      <c r="C102" s="7"/>
      <c r="D102" s="7" t="str">
        <f t="shared" si="19"/>
        <v/>
      </c>
      <c r="E102" s="7" t="str">
        <f t="shared" si="20"/>
        <v/>
      </c>
      <c r="F102" s="7" t="str">
        <f t="shared" si="18"/>
        <v/>
      </c>
      <c r="G102" s="7"/>
      <c r="H102" s="27"/>
    </row>
    <row r="103" spans="1:11">
      <c r="A103" s="33"/>
      <c r="B103" s="7"/>
      <c r="C103" s="7"/>
      <c r="D103" s="7" t="str">
        <f t="shared" si="19"/>
        <v/>
      </c>
      <c r="E103" s="7" t="str">
        <f t="shared" si="20"/>
        <v/>
      </c>
      <c r="F103" s="7" t="str">
        <f t="shared" si="18"/>
        <v/>
      </c>
      <c r="G103" s="7"/>
      <c r="H103" s="27"/>
    </row>
    <row r="104" spans="1:11" ht="13.8" thickBot="1">
      <c r="A104" s="33"/>
      <c r="B104" s="7"/>
      <c r="C104" s="7"/>
      <c r="D104" s="7" t="str">
        <f>IF(ISBLANK(A104),"",ROUNDUP(($B$23+C104)/2,0)+IF($B$20="Shamanism",IF(A104&lt;&gt;"Orient Self",VLOOKUP("Orient Self",$A$73:$D$104,4,FALSE),0)))</f>
        <v/>
      </c>
      <c r="E104" s="7" t="str">
        <f t="shared" si="20"/>
        <v/>
      </c>
      <c r="F104" s="7" t="str">
        <f t="shared" si="18"/>
        <v/>
      </c>
      <c r="G104" s="7"/>
      <c r="H104" s="27"/>
    </row>
    <row r="105" spans="1:11">
      <c r="A105" s="50" t="s">
        <v>143</v>
      </c>
      <c r="B105" s="24" t="s">
        <v>91</v>
      </c>
      <c r="C105" s="24" t="s">
        <v>140</v>
      </c>
      <c r="D105" s="24" t="s">
        <v>144</v>
      </c>
      <c r="E105" s="49" t="s">
        <v>150</v>
      </c>
      <c r="F105" s="62" t="s">
        <v>151</v>
      </c>
      <c r="G105" s="24" t="s">
        <v>152</v>
      </c>
      <c r="H105" s="25" t="s">
        <v>172</v>
      </c>
    </row>
    <row r="106" spans="1:11">
      <c r="A106" s="33" t="s">
        <v>158</v>
      </c>
      <c r="B106" s="7">
        <v>80</v>
      </c>
      <c r="C106" s="46" t="s">
        <v>167</v>
      </c>
      <c r="D106" s="7"/>
      <c r="E106" s="7">
        <v>80</v>
      </c>
      <c r="F106" s="1"/>
      <c r="G106" s="7"/>
      <c r="H106" s="27"/>
      <c r="I106" s="75" t="s">
        <v>343</v>
      </c>
    </row>
    <row r="107" spans="1:11">
      <c r="A107" s="74" t="s">
        <v>224</v>
      </c>
      <c r="B107" s="7">
        <v>5</v>
      </c>
      <c r="C107" s="46" t="str">
        <f t="shared" ref="C107:C126" si="21">IF(ISBLANK(A107),"",IF(OR(ISBLANK(B107),B107=-1),VLOOKUP(A107,KnowledgeSkills,2,FALSE),IF(B107&lt;E107,IF(ISNUMBER(G107),G107,(B107+1)*(B107+1)),"-")))</f>
        <v>-</v>
      </c>
      <c r="D107" s="7"/>
      <c r="E107" s="7">
        <f>ROUNDUP((CurIntelligence+CurEmpathy)/10+StB,0)</f>
        <v>-1</v>
      </c>
      <c r="F107" s="1" t="str">
        <f t="shared" ref="F107:F126" si="22">IF(ISBLANK(A107),"",VLOOKUP($A107,KnowledgeSkills,4,FALSE))</f>
        <v>(I + Em) / 10 + StB</v>
      </c>
      <c r="G107" s="7">
        <f>IF(ISBLANK(A107),"",VLOOKUP($A107,KnowledgeSkills,3,FALSE))</f>
        <v>15</v>
      </c>
      <c r="H107" s="27"/>
      <c r="I107" s="75" t="s">
        <v>286</v>
      </c>
    </row>
    <row r="108" spans="1:11">
      <c r="A108" s="74" t="s">
        <v>216</v>
      </c>
      <c r="B108" s="7">
        <v>3</v>
      </c>
      <c r="C108" s="46" t="str">
        <f t="shared" si="21"/>
        <v>-</v>
      </c>
      <c r="D108" s="7">
        <v>8</v>
      </c>
      <c r="E108" s="53">
        <f>ROUNDUP((CurWill+CurEloquence+CurEmpathy)/15,0)</f>
        <v>0</v>
      </c>
      <c r="F108" s="1" t="str">
        <f t="shared" si="22"/>
        <v>(W + E + Em) / 15</v>
      </c>
      <c r="G108" s="7" t="str">
        <f t="shared" ref="G108:G126" si="23">IF(ISBLANK(A108),"",VLOOKUP($A108,KnowledgeSkills,3,FALSE))</f>
        <v>NEL*NEL</v>
      </c>
      <c r="H108" s="27"/>
    </row>
    <row r="109" spans="1:11">
      <c r="A109" s="66" t="s">
        <v>215</v>
      </c>
      <c r="B109" s="7">
        <v>30</v>
      </c>
      <c r="C109" s="46" t="str">
        <f t="shared" si="21"/>
        <v>-</v>
      </c>
      <c r="D109" s="7"/>
      <c r="E109" s="53">
        <f>IF((CurIntelligence+CurEmpathy)&lt;80,(CurIntelligence+CurEmpathy),80)</f>
        <v>0</v>
      </c>
      <c r="F109" s="14" t="str">
        <f t="shared" ref="F109:F113" si="24">IF(ISBLANK(A109),"",VLOOKUP($A109,KnowledgeSkills,4,FALSE))</f>
        <v>I + Em or 80</v>
      </c>
      <c r="G109" s="7">
        <f t="shared" si="23"/>
        <v>3</v>
      </c>
      <c r="H109" s="27"/>
      <c r="I109" s="75" t="s">
        <v>158</v>
      </c>
    </row>
    <row r="110" spans="1:11">
      <c r="A110" s="74" t="s">
        <v>161</v>
      </c>
      <c r="B110" s="7">
        <v>5</v>
      </c>
      <c r="C110" s="46" t="str">
        <f t="shared" si="21"/>
        <v>-</v>
      </c>
      <c r="D110" s="7">
        <v>0</v>
      </c>
      <c r="E110" s="7">
        <f>ROUNDUP((CurStrength+CurAgility)/10+StB,0)</f>
        <v>-1</v>
      </c>
      <c r="F110" s="14" t="str">
        <f t="shared" si="24"/>
        <v>(S + A) / 10 + StB</v>
      </c>
      <c r="G110" s="7" t="str">
        <f t="shared" si="23"/>
        <v>NEL*NEL</v>
      </c>
      <c r="H110" s="27"/>
      <c r="K110" s="53"/>
    </row>
    <row r="111" spans="1:11">
      <c r="A111" s="74" t="s">
        <v>224</v>
      </c>
      <c r="B111" s="53">
        <v>3</v>
      </c>
      <c r="C111" s="46" t="str">
        <f t="shared" si="21"/>
        <v>-</v>
      </c>
      <c r="D111" s="53">
        <v>2</v>
      </c>
      <c r="E111" s="7">
        <f>ROUNDUP((CurIntelligence+CurEmpathy)/10+StB,0)</f>
        <v>-1</v>
      </c>
      <c r="F111" s="14" t="str">
        <f t="shared" si="24"/>
        <v>(I + Em) / 10 + StB</v>
      </c>
      <c r="G111" s="7">
        <f t="shared" si="23"/>
        <v>15</v>
      </c>
      <c r="H111" s="27"/>
      <c r="I111" s="75" t="s">
        <v>287</v>
      </c>
      <c r="K111" s="53"/>
    </row>
    <row r="112" spans="1:11">
      <c r="A112" s="74" t="s">
        <v>224</v>
      </c>
      <c r="B112" s="53">
        <v>4</v>
      </c>
      <c r="C112" s="46" t="str">
        <f t="shared" si="21"/>
        <v>-</v>
      </c>
      <c r="D112" s="53"/>
      <c r="E112" s="7">
        <f>ROUNDUP((CurIntelligence+CurEmpathy)/10+StB,0)</f>
        <v>-1</v>
      </c>
      <c r="F112" s="14" t="str">
        <f t="shared" si="24"/>
        <v>(I + Em) / 10 + StB</v>
      </c>
      <c r="G112" s="7">
        <f t="shared" si="23"/>
        <v>15</v>
      </c>
      <c r="H112" s="27"/>
      <c r="I112" s="75" t="s">
        <v>285</v>
      </c>
    </row>
    <row r="113" spans="1:9">
      <c r="A113" s="73" t="s">
        <v>224</v>
      </c>
      <c r="B113" s="53">
        <v>5</v>
      </c>
      <c r="C113" s="46" t="str">
        <f t="shared" si="21"/>
        <v>-</v>
      </c>
      <c r="D113" s="7"/>
      <c r="E113" s="7">
        <f>ROUNDUP((CurIntelligence+CurEmpathy)/10+StB,0)</f>
        <v>-1</v>
      </c>
      <c r="F113" s="1" t="str">
        <f t="shared" si="24"/>
        <v>(I + Em) / 10 + StB</v>
      </c>
      <c r="G113" s="7">
        <f t="shared" si="23"/>
        <v>15</v>
      </c>
      <c r="H113" s="27"/>
      <c r="I113" s="75" t="s">
        <v>288</v>
      </c>
    </row>
    <row r="114" spans="1:9">
      <c r="A114" s="73" t="s">
        <v>188</v>
      </c>
      <c r="B114" s="53">
        <v>7</v>
      </c>
      <c r="C114" s="46" t="str">
        <f t="shared" si="21"/>
        <v>-</v>
      </c>
      <c r="D114" s="7">
        <v>26</v>
      </c>
      <c r="E114" s="7">
        <f>ROUNDUP((CurIntelligence+CurWill+CurDexterity+CurAgility)/20,0)</f>
        <v>0</v>
      </c>
      <c r="F114" s="14" t="str">
        <f t="shared" ref="F114" si="25">IF(ISBLANK(A114),"",VLOOKUP($A114,KnowledgeSkills,4,FALSE))</f>
        <v>(I + W + D + A) / 20</v>
      </c>
      <c r="G114" s="7" t="str">
        <f t="shared" si="23"/>
        <v>NEL*15</v>
      </c>
      <c r="H114" s="27"/>
      <c r="I114" s="83" t="s">
        <v>291</v>
      </c>
    </row>
    <row r="115" spans="1:9">
      <c r="A115" s="73" t="s">
        <v>229</v>
      </c>
      <c r="B115" s="53">
        <v>26</v>
      </c>
      <c r="C115" s="46" t="str">
        <f t="shared" si="21"/>
        <v>-</v>
      </c>
      <c r="D115" s="7"/>
      <c r="E115" s="7">
        <f>IF(ROUNDUP((CurIntelligence+CurEmpathy+CurAgility)/2,0)&lt;80,ROUNDUP((CurIntelligence+CurEmpathy+CurAgility)/2,0),80)</f>
        <v>0</v>
      </c>
      <c r="F115" s="1" t="str">
        <f t="shared" si="22"/>
        <v>(I + Em + A) / 2 or 80</v>
      </c>
      <c r="G115" s="7">
        <f t="shared" si="23"/>
        <v>4</v>
      </c>
      <c r="H115" s="27"/>
    </row>
    <row r="116" spans="1:9">
      <c r="A116" s="73" t="s">
        <v>225</v>
      </c>
      <c r="B116" s="53">
        <v>1</v>
      </c>
      <c r="C116" s="46" t="str">
        <f t="shared" si="21"/>
        <v>-</v>
      </c>
      <c r="D116" s="7"/>
      <c r="E116" s="7">
        <f>ROUNDUP((CurStrength+CurStamina)/10+AB,0)</f>
        <v>-1</v>
      </c>
      <c r="F116" s="1" t="str">
        <f t="shared" si="22"/>
        <v>(S + St) / 10 + AB</v>
      </c>
      <c r="G116" s="7" t="str">
        <f t="shared" si="23"/>
        <v>NEL*5</v>
      </c>
      <c r="H116" s="27"/>
    </row>
    <row r="117" spans="1:9">
      <c r="A117" s="73" t="s">
        <v>163</v>
      </c>
      <c r="B117" s="53">
        <v>18</v>
      </c>
      <c r="C117" s="46" t="str">
        <f t="shared" si="21"/>
        <v>-</v>
      </c>
      <c r="D117" s="7"/>
      <c r="E117" s="7">
        <f>IF(ROUNDUP((CurIntelligence+CurWill+CurStrength)/2,0)&lt;80,ROUNDUP((CurIntelligence+CurWill+CurStrength)/2,0),80)</f>
        <v>0</v>
      </c>
      <c r="F117" s="1" t="str">
        <f t="shared" si="22"/>
        <v>(I + W + S) / 2 or 80</v>
      </c>
      <c r="G117" s="7">
        <f t="shared" si="23"/>
        <v>12</v>
      </c>
      <c r="H117" s="27"/>
      <c r="I117" s="75"/>
    </row>
    <row r="118" spans="1:9">
      <c r="A118" s="73"/>
      <c r="B118" s="53"/>
      <c r="C118" s="46" t="str">
        <f t="shared" si="21"/>
        <v/>
      </c>
      <c r="D118" s="7"/>
      <c r="E118" s="7"/>
      <c r="F118" s="1" t="str">
        <f t="shared" si="22"/>
        <v/>
      </c>
      <c r="G118" s="7" t="str">
        <f t="shared" si="23"/>
        <v/>
      </c>
      <c r="H118" s="27"/>
      <c r="I118" s="75"/>
    </row>
    <row r="119" spans="1:9">
      <c r="A119" s="26"/>
      <c r="B119" s="53"/>
      <c r="C119" s="46" t="str">
        <f t="shared" si="21"/>
        <v/>
      </c>
      <c r="D119" s="7"/>
      <c r="E119" s="53"/>
      <c r="F119" s="1" t="str">
        <f t="shared" si="22"/>
        <v/>
      </c>
      <c r="G119" s="7" t="str">
        <f t="shared" si="23"/>
        <v/>
      </c>
      <c r="H119" s="27"/>
    </row>
    <row r="120" spans="1:9">
      <c r="A120" s="26"/>
      <c r="B120" s="7"/>
      <c r="C120" s="46" t="str">
        <f t="shared" si="21"/>
        <v/>
      </c>
      <c r="D120" s="7"/>
      <c r="E120" s="7"/>
      <c r="F120" s="1" t="str">
        <f t="shared" si="22"/>
        <v/>
      </c>
      <c r="G120" s="7" t="str">
        <f t="shared" si="23"/>
        <v/>
      </c>
      <c r="H120" s="27"/>
    </row>
    <row r="121" spans="1:9">
      <c r="A121" s="26"/>
      <c r="B121" s="7"/>
      <c r="C121" s="46" t="str">
        <f t="shared" si="21"/>
        <v/>
      </c>
      <c r="D121" s="7"/>
      <c r="E121" s="7"/>
      <c r="F121" s="1" t="str">
        <f t="shared" si="22"/>
        <v/>
      </c>
      <c r="G121" s="7" t="str">
        <f t="shared" si="23"/>
        <v/>
      </c>
      <c r="H121" s="27"/>
    </row>
    <row r="122" spans="1:9">
      <c r="A122" s="26"/>
      <c r="B122" s="7"/>
      <c r="C122" s="46" t="str">
        <f t="shared" si="21"/>
        <v/>
      </c>
      <c r="D122" s="7"/>
      <c r="E122" s="7"/>
      <c r="F122" s="1" t="str">
        <f t="shared" si="22"/>
        <v/>
      </c>
      <c r="G122" s="7" t="str">
        <f t="shared" si="23"/>
        <v/>
      </c>
      <c r="H122" s="27"/>
    </row>
    <row r="123" spans="1:9">
      <c r="A123" s="26"/>
      <c r="B123" s="7"/>
      <c r="C123" s="46" t="str">
        <f t="shared" si="21"/>
        <v/>
      </c>
      <c r="D123" s="7"/>
      <c r="E123" s="7"/>
      <c r="F123" s="1" t="str">
        <f t="shared" si="22"/>
        <v/>
      </c>
      <c r="G123" s="7" t="str">
        <f t="shared" si="23"/>
        <v/>
      </c>
      <c r="H123" s="27"/>
    </row>
    <row r="124" spans="1:9">
      <c r="A124" s="26"/>
      <c r="B124" s="7"/>
      <c r="C124" s="46" t="str">
        <f t="shared" si="21"/>
        <v/>
      </c>
      <c r="D124" s="7"/>
      <c r="E124" s="7"/>
      <c r="F124" s="1" t="str">
        <f t="shared" si="22"/>
        <v/>
      </c>
      <c r="G124" s="7" t="str">
        <f t="shared" si="23"/>
        <v/>
      </c>
      <c r="H124" s="27"/>
    </row>
    <row r="125" spans="1:9">
      <c r="A125" s="26"/>
      <c r="B125" s="7"/>
      <c r="C125" s="46" t="str">
        <f t="shared" si="21"/>
        <v/>
      </c>
      <c r="D125" s="7"/>
      <c r="E125" s="7"/>
      <c r="F125" s="1" t="str">
        <f t="shared" si="22"/>
        <v/>
      </c>
      <c r="G125" s="7" t="str">
        <f t="shared" si="23"/>
        <v/>
      </c>
      <c r="H125" s="27"/>
    </row>
    <row r="126" spans="1:9" ht="13.8" thickBot="1">
      <c r="A126" s="34"/>
      <c r="B126" s="37"/>
      <c r="C126" s="48" t="str">
        <f t="shared" si="21"/>
        <v/>
      </c>
      <c r="D126" s="37"/>
      <c r="E126" s="35"/>
      <c r="F126" s="36" t="str">
        <f t="shared" si="22"/>
        <v/>
      </c>
      <c r="G126" s="37" t="str">
        <f t="shared" si="23"/>
        <v/>
      </c>
      <c r="H126" s="38"/>
    </row>
    <row r="127" spans="1:9">
      <c r="A127" s="50" t="s">
        <v>145</v>
      </c>
      <c r="B127" s="24" t="s">
        <v>91</v>
      </c>
      <c r="C127" s="24" t="s">
        <v>140</v>
      </c>
      <c r="D127" s="24" t="s">
        <v>144</v>
      </c>
      <c r="E127" s="45" t="s">
        <v>157</v>
      </c>
      <c r="F127" s="62" t="s">
        <v>151</v>
      </c>
      <c r="G127" s="24" t="s">
        <v>152</v>
      </c>
      <c r="H127" s="25" t="s">
        <v>172</v>
      </c>
    </row>
    <row r="128" spans="1:9">
      <c r="A128" s="73" t="s">
        <v>267</v>
      </c>
      <c r="B128" s="7">
        <v>9</v>
      </c>
      <c r="C128" s="46" t="str">
        <f t="shared" ref="C128:C148" si="26">IF(ISBLANK(A128),"",IF(OR(ISBLANK(B128),B128=-1),VLOOKUP(A128,CombatSkills,2,FALSE),IF(B128&lt;E128,(B128+1)*IF(RIGHT(G128,(LEN(G128)-(FIND("*",G128))))="NEL",(B128+1),VALUE(RIGHT(G128,(LEN(G128)-(FIND("*",G128)))))),"-")))</f>
        <v>-</v>
      </c>
      <c r="D128" s="7"/>
      <c r="E128" s="7">
        <f>ROUNDUP((CurStrength+CurStamina)/10,0)</f>
        <v>0</v>
      </c>
      <c r="F128" s="1" t="str">
        <f t="shared" ref="F128:F148" si="27">IF(ISBLANK($A128),"",VLOOKUP($A128,CombatSkills,4,FALSE))</f>
        <v>(S + St) / 10</v>
      </c>
      <c r="G128" s="7" t="str">
        <f t="shared" ref="G128:G148" si="28">IF(ISBLANK($A128),"",VLOOKUP($A128,CombatSkills,3,FALSE))</f>
        <v>NEL*7</v>
      </c>
      <c r="H128" s="27"/>
    </row>
    <row r="129" spans="1:10">
      <c r="A129" s="26" t="s">
        <v>86</v>
      </c>
      <c r="B129" s="7">
        <v>11</v>
      </c>
      <c r="C129" s="46" t="str">
        <f t="shared" si="26"/>
        <v>-</v>
      </c>
      <c r="D129" s="7">
        <v>42</v>
      </c>
      <c r="E129" s="7">
        <f>ROUNDUP((CurStrength+CurDexterity+CurAgility)/15,0)</f>
        <v>0</v>
      </c>
      <c r="F129" s="1" t="str">
        <f t="shared" si="27"/>
        <v>(S + D + A) / 15</v>
      </c>
      <c r="G129" s="7" t="str">
        <f t="shared" si="28"/>
        <v>NEL*6</v>
      </c>
      <c r="H129" s="27"/>
    </row>
    <row r="130" spans="1:10">
      <c r="A130" s="28" t="s">
        <v>147</v>
      </c>
      <c r="B130" s="7">
        <v>5</v>
      </c>
      <c r="C130" s="46" t="str">
        <f t="shared" si="26"/>
        <v>-</v>
      </c>
      <c r="D130" s="7"/>
      <c r="E130" s="7">
        <f>ROUNDUP((CurDexterity+CurAgility)/10,0)+SB</f>
        <v>-1</v>
      </c>
      <c r="F130" s="1" t="str">
        <f t="shared" si="27"/>
        <v>(D + A) / 10 + SB</v>
      </c>
      <c r="G130" s="53" t="str">
        <f t="shared" si="28"/>
        <v>NEL*NEL</v>
      </c>
      <c r="H130" s="27"/>
      <c r="I130" t="s">
        <v>170</v>
      </c>
    </row>
    <row r="131" spans="1:10">
      <c r="A131" s="28" t="s">
        <v>102</v>
      </c>
      <c r="B131" s="53">
        <v>2</v>
      </c>
      <c r="C131" s="46" t="str">
        <f t="shared" si="26"/>
        <v>-</v>
      </c>
      <c r="D131" s="7"/>
      <c r="E131" s="7">
        <f>ROUNDUP((CurDexterity+CurAgility)/10,0)</f>
        <v>0</v>
      </c>
      <c r="F131" s="1" t="str">
        <f t="shared" si="27"/>
        <v>(D + A) / 10</v>
      </c>
      <c r="G131" s="53" t="str">
        <f t="shared" si="28"/>
        <v>NEL*9</v>
      </c>
      <c r="H131" s="27"/>
    </row>
    <row r="132" spans="1:10">
      <c r="A132" s="28" t="s">
        <v>117</v>
      </c>
      <c r="B132" s="53">
        <v>3</v>
      </c>
      <c r="C132" s="46" t="str">
        <f t="shared" si="26"/>
        <v>-</v>
      </c>
      <c r="D132" s="7"/>
      <c r="E132" s="7">
        <f>ROUNDUP((CurDexterity+CurAgility)/10,0)</f>
        <v>0</v>
      </c>
      <c r="F132" s="1" t="str">
        <f t="shared" si="27"/>
        <v>(D + A) / 10</v>
      </c>
      <c r="G132" s="53" t="str">
        <f t="shared" si="28"/>
        <v>NEL*9</v>
      </c>
      <c r="H132" s="27"/>
    </row>
    <row r="133" spans="1:10">
      <c r="A133" s="28" t="s">
        <v>148</v>
      </c>
      <c r="B133" s="53">
        <v>3</v>
      </c>
      <c r="C133" s="46" t="str">
        <f t="shared" si="26"/>
        <v>-</v>
      </c>
      <c r="D133" s="7"/>
      <c r="E133" s="7">
        <f>ROUNDUP((CurDexterity+CurAgility)/10,0)</f>
        <v>0</v>
      </c>
      <c r="F133" s="1" t="str">
        <f t="shared" si="27"/>
        <v>(D + A) / 10</v>
      </c>
      <c r="G133" s="53" t="str">
        <f t="shared" si="28"/>
        <v>NEL*3</v>
      </c>
      <c r="H133" s="27"/>
    </row>
    <row r="134" spans="1:10">
      <c r="A134" s="28" t="s">
        <v>101</v>
      </c>
      <c r="B134" s="53">
        <v>3</v>
      </c>
      <c r="C134" s="46" t="str">
        <f t="shared" si="26"/>
        <v>-</v>
      </c>
      <c r="D134" s="7">
        <v>18</v>
      </c>
      <c r="E134" s="7">
        <f>ROUNDUP((CurDexterity+CurAgility)/10,0)</f>
        <v>0</v>
      </c>
      <c r="F134" s="1" t="str">
        <f t="shared" si="27"/>
        <v>(D + A) / 10</v>
      </c>
      <c r="G134" s="7" t="str">
        <f t="shared" si="28"/>
        <v>NEL*6</v>
      </c>
      <c r="H134" s="27"/>
    </row>
    <row r="135" spans="1:10">
      <c r="A135" s="76" t="s">
        <v>115</v>
      </c>
      <c r="B135" s="53">
        <v>0</v>
      </c>
      <c r="C135" s="46" t="str">
        <f t="shared" si="26"/>
        <v>-</v>
      </c>
      <c r="D135" s="7"/>
      <c r="E135" s="7">
        <f>ROUNDUP((CurStrength+CurDexterity)/10,0)</f>
        <v>0</v>
      </c>
      <c r="F135" s="1" t="str">
        <f t="shared" si="27"/>
        <v>(S + D) / 10</v>
      </c>
      <c r="G135" s="7" t="str">
        <f t="shared" si="28"/>
        <v>NEL*8</v>
      </c>
      <c r="H135" s="27"/>
    </row>
    <row r="136" spans="1:10">
      <c r="A136" s="73" t="s">
        <v>252</v>
      </c>
      <c r="B136" s="53">
        <v>0</v>
      </c>
      <c r="C136" s="46" t="str">
        <f t="shared" si="26"/>
        <v>-</v>
      </c>
      <c r="D136" s="7"/>
      <c r="E136" s="7">
        <f>ROUNDUP((CurStrength+CurStamina)/10,0)</f>
        <v>0</v>
      </c>
      <c r="F136" s="1" t="str">
        <f t="shared" si="27"/>
        <v>(S + St) / 10</v>
      </c>
      <c r="G136" s="7" t="str">
        <f t="shared" si="28"/>
        <v>NEL*7</v>
      </c>
      <c r="H136" s="27"/>
    </row>
    <row r="137" spans="1:10">
      <c r="A137" s="73" t="s">
        <v>120</v>
      </c>
      <c r="B137" s="53">
        <v>6</v>
      </c>
      <c r="C137" s="46" t="str">
        <f t="shared" si="26"/>
        <v>-</v>
      </c>
      <c r="D137" s="7">
        <v>13</v>
      </c>
      <c r="E137" s="7">
        <f>ROUNDUP((CurStrength+CurDexterity)/10,0)</f>
        <v>0</v>
      </c>
      <c r="F137" s="1" t="str">
        <f t="shared" si="27"/>
        <v>(S + D) / 10</v>
      </c>
      <c r="G137" s="7" t="str">
        <f t="shared" si="28"/>
        <v>NEL*8</v>
      </c>
      <c r="H137" s="27"/>
      <c r="J137">
        <f>D137-48</f>
        <v>-35</v>
      </c>
    </row>
    <row r="138" spans="1:10">
      <c r="A138" s="73" t="s">
        <v>122</v>
      </c>
      <c r="B138" s="53">
        <v>1</v>
      </c>
      <c r="C138" s="46" t="str">
        <f t="shared" si="26"/>
        <v>-</v>
      </c>
      <c r="D138" s="7"/>
      <c r="E138" s="7">
        <f>ROUNDUP((CurStrength+CurDexterity)/10,0)</f>
        <v>0</v>
      </c>
      <c r="F138" s="1" t="str">
        <f t="shared" si="27"/>
        <v>(S + D) / 10</v>
      </c>
      <c r="G138" s="7" t="str">
        <f t="shared" si="28"/>
        <v>NEL*8</v>
      </c>
      <c r="H138" s="27"/>
    </row>
    <row r="139" spans="1:10">
      <c r="A139" s="66" t="s">
        <v>250</v>
      </c>
      <c r="B139" s="53">
        <v>6</v>
      </c>
      <c r="C139" s="46" t="str">
        <f t="shared" si="26"/>
        <v>-</v>
      </c>
      <c r="D139" s="7">
        <v>4</v>
      </c>
      <c r="E139" s="7">
        <f>ROUNDUP((CurStrength+CurStamina+CurDexterity+CurAgility)/20,0)</f>
        <v>0</v>
      </c>
      <c r="F139" s="1" t="str">
        <f t="shared" si="27"/>
        <v>(S + St + A + D) / 20</v>
      </c>
      <c r="G139" s="7" t="str">
        <f t="shared" si="28"/>
        <v>NEL*NEL</v>
      </c>
      <c r="H139" s="27"/>
    </row>
    <row r="140" spans="1:10">
      <c r="A140" s="66" t="s">
        <v>248</v>
      </c>
      <c r="B140" s="53">
        <v>3</v>
      </c>
      <c r="C140" s="46" t="str">
        <f t="shared" si="26"/>
        <v>-</v>
      </c>
      <c r="D140" s="7">
        <v>5</v>
      </c>
      <c r="E140" s="7">
        <f>ROUNDUP((CurStamina+CurDexterity)/10,0)</f>
        <v>0</v>
      </c>
      <c r="F140" s="1" t="str">
        <f t="shared" si="27"/>
        <v>(St + D) / 10</v>
      </c>
      <c r="G140" s="7" t="str">
        <f t="shared" si="28"/>
        <v>NEL*5</v>
      </c>
      <c r="H140" s="27"/>
    </row>
    <row r="141" spans="1:10">
      <c r="A141" s="73" t="s">
        <v>118</v>
      </c>
      <c r="B141" s="53">
        <v>2</v>
      </c>
      <c r="C141" s="46" t="str">
        <f t="shared" si="26"/>
        <v>-</v>
      </c>
      <c r="D141" s="53">
        <v>2</v>
      </c>
      <c r="E141" s="7">
        <f>ROUNDUP((CurDexterity+CurAgility)/10,0)</f>
        <v>0</v>
      </c>
      <c r="F141" s="1" t="str">
        <f>IF(ISBLANK($A141),"",VLOOKUP($A141,CombatSkills,4,FALSE))</f>
        <v>(D + A) / 10</v>
      </c>
      <c r="G141" s="7" t="str">
        <f>IF(ISBLANK($A141),"",VLOOKUP($A141,CombatSkills,3,FALSE))</f>
        <v>NEL*9</v>
      </c>
      <c r="H141" s="27"/>
    </row>
    <row r="142" spans="1:10">
      <c r="A142" s="86" t="s">
        <v>268</v>
      </c>
      <c r="B142" s="53">
        <v>1</v>
      </c>
      <c r="C142" s="46" t="str">
        <f t="shared" si="26"/>
        <v>-</v>
      </c>
      <c r="D142" s="53">
        <v>9</v>
      </c>
      <c r="E142" s="7">
        <f>ROUNDUP((CurStrength+CurStamina)/10,0)</f>
        <v>0</v>
      </c>
      <c r="F142" s="1" t="str">
        <f>IF(ISBLANK($A142),"",VLOOKUP($A142,CombatSkills,4,FALSE))</f>
        <v>(S + St) / 10</v>
      </c>
      <c r="G142" s="7" t="str">
        <f>IF(ISBLANK($A142),"",VLOOKUP($A142,CombatSkills,3,FALSE))</f>
        <v>NEL*7</v>
      </c>
      <c r="H142" s="27"/>
    </row>
    <row r="143" spans="1:10">
      <c r="A143" s="87"/>
      <c r="B143" s="7"/>
      <c r="C143" s="46" t="str">
        <f t="shared" si="26"/>
        <v/>
      </c>
      <c r="D143" s="7"/>
      <c r="E143" s="7"/>
      <c r="F143" s="1" t="str">
        <f t="shared" si="27"/>
        <v/>
      </c>
      <c r="G143" s="7" t="str">
        <f t="shared" si="28"/>
        <v/>
      </c>
      <c r="H143" s="27"/>
    </row>
    <row r="144" spans="1:10">
      <c r="A144" s="87"/>
      <c r="B144" s="7"/>
      <c r="C144" s="46" t="str">
        <f t="shared" si="26"/>
        <v/>
      </c>
      <c r="D144" s="7"/>
      <c r="E144" s="7"/>
      <c r="F144" s="1" t="str">
        <f t="shared" si="27"/>
        <v/>
      </c>
      <c r="G144" s="7" t="str">
        <f t="shared" si="28"/>
        <v/>
      </c>
      <c r="H144" s="27"/>
    </row>
    <row r="145" spans="1:8">
      <c r="A145" s="87"/>
      <c r="B145" s="7"/>
      <c r="C145" s="46" t="str">
        <f t="shared" si="26"/>
        <v/>
      </c>
      <c r="D145" s="7"/>
      <c r="E145" s="7"/>
      <c r="F145" s="1" t="str">
        <f t="shared" si="27"/>
        <v/>
      </c>
      <c r="G145" s="7" t="str">
        <f t="shared" si="28"/>
        <v/>
      </c>
      <c r="H145" s="27"/>
    </row>
    <row r="146" spans="1:8">
      <c r="A146" s="87"/>
      <c r="B146" s="7"/>
      <c r="C146" s="46" t="str">
        <f t="shared" si="26"/>
        <v/>
      </c>
      <c r="D146" s="7"/>
      <c r="E146" s="7"/>
      <c r="F146" s="1" t="str">
        <f t="shared" si="27"/>
        <v/>
      </c>
      <c r="G146" s="7" t="str">
        <f t="shared" si="28"/>
        <v/>
      </c>
      <c r="H146" s="27"/>
    </row>
    <row r="147" spans="1:8">
      <c r="A147" s="87"/>
      <c r="B147" s="7"/>
      <c r="C147" s="46" t="str">
        <f t="shared" si="26"/>
        <v/>
      </c>
      <c r="D147" s="7"/>
      <c r="E147" s="7"/>
      <c r="F147" s="1" t="str">
        <f t="shared" si="27"/>
        <v/>
      </c>
      <c r="G147" s="7" t="str">
        <f t="shared" si="28"/>
        <v/>
      </c>
      <c r="H147" s="27"/>
    </row>
    <row r="148" spans="1:8" ht="13.8" thickBot="1">
      <c r="A148" s="88"/>
      <c r="B148" s="37"/>
      <c r="C148" s="48" t="str">
        <f t="shared" si="26"/>
        <v/>
      </c>
      <c r="D148" s="37"/>
      <c r="E148" s="37"/>
      <c r="F148" s="36" t="str">
        <f t="shared" si="27"/>
        <v/>
      </c>
      <c r="G148" s="37" t="str">
        <f t="shared" si="28"/>
        <v/>
      </c>
      <c r="H148" s="38"/>
    </row>
    <row r="149" spans="1:8">
      <c r="A149" s="56" t="s">
        <v>173</v>
      </c>
      <c r="B149" s="24" t="s">
        <v>174</v>
      </c>
      <c r="C149" s="24" t="s">
        <v>44</v>
      </c>
      <c r="D149" s="121" t="s">
        <v>175</v>
      </c>
      <c r="E149" s="121"/>
      <c r="F149" s="121"/>
      <c r="G149" s="121"/>
      <c r="H149" s="25"/>
    </row>
    <row r="150" spans="1:8">
      <c r="A150" s="74"/>
      <c r="B150" s="7"/>
      <c r="C150" s="7"/>
      <c r="D150" s="117"/>
      <c r="E150" s="117"/>
      <c r="F150" s="117"/>
      <c r="G150" s="117"/>
      <c r="H150" s="27"/>
    </row>
    <row r="151" spans="1:8">
      <c r="A151" s="74"/>
      <c r="B151" s="7"/>
      <c r="C151" s="7"/>
      <c r="D151" s="117"/>
      <c r="E151" s="117"/>
      <c r="F151" s="117"/>
      <c r="G151" s="117"/>
      <c r="H151" s="27"/>
    </row>
    <row r="152" spans="1:8">
      <c r="A152" s="74"/>
      <c r="B152" s="7"/>
      <c r="C152" s="7"/>
      <c r="D152" s="117"/>
      <c r="E152" s="117"/>
      <c r="F152" s="117"/>
      <c r="G152" s="117"/>
      <c r="H152" s="27"/>
    </row>
    <row r="153" spans="1:8">
      <c r="A153" s="74"/>
      <c r="B153" s="53"/>
      <c r="C153" s="7"/>
      <c r="D153" s="117"/>
      <c r="E153" s="117"/>
      <c r="F153" s="117"/>
      <c r="G153" s="117"/>
      <c r="H153" s="27"/>
    </row>
    <row r="154" spans="1:8">
      <c r="A154" s="74"/>
      <c r="B154" s="53"/>
      <c r="C154" s="7"/>
      <c r="D154" s="117"/>
      <c r="E154" s="117"/>
      <c r="F154" s="117"/>
      <c r="G154" s="117"/>
      <c r="H154" s="27"/>
    </row>
    <row r="155" spans="1:8">
      <c r="A155" s="33"/>
      <c r="B155" s="53"/>
      <c r="C155" s="7"/>
      <c r="D155" s="117"/>
      <c r="E155" s="117"/>
      <c r="F155" s="117"/>
      <c r="G155" s="117"/>
      <c r="H155" s="27"/>
    </row>
    <row r="156" spans="1:8">
      <c r="A156" s="33"/>
      <c r="B156" s="53"/>
      <c r="C156" s="53"/>
      <c r="D156" s="117"/>
      <c r="E156" s="117"/>
      <c r="F156" s="117"/>
      <c r="G156" s="117"/>
      <c r="H156" s="27"/>
    </row>
    <row r="157" spans="1:8">
      <c r="A157" s="33"/>
      <c r="B157" s="53"/>
      <c r="C157" s="53"/>
      <c r="D157" s="117"/>
      <c r="E157" s="117"/>
      <c r="F157" s="117"/>
      <c r="G157" s="117"/>
      <c r="H157" s="27"/>
    </row>
    <row r="158" spans="1:8">
      <c r="A158" s="33"/>
      <c r="B158" s="53"/>
      <c r="C158" s="53"/>
      <c r="D158" s="117"/>
      <c r="E158" s="117"/>
      <c r="F158" s="117"/>
      <c r="G158" s="117"/>
      <c r="H158" s="27"/>
    </row>
    <row r="159" spans="1:8">
      <c r="A159" s="33"/>
      <c r="B159" s="53"/>
      <c r="C159" s="53"/>
      <c r="D159" s="117"/>
      <c r="E159" s="117"/>
      <c r="F159" s="117"/>
      <c r="G159" s="117"/>
      <c r="H159" s="27"/>
    </row>
    <row r="160" spans="1:8">
      <c r="A160" s="33"/>
      <c r="B160" s="53"/>
      <c r="C160" s="7"/>
      <c r="D160" s="117"/>
      <c r="E160" s="117"/>
      <c r="F160" s="117"/>
      <c r="G160" s="117"/>
      <c r="H160" s="27"/>
    </row>
    <row r="161" spans="1:8">
      <c r="A161" s="33"/>
      <c r="B161" s="7"/>
      <c r="C161" s="53"/>
      <c r="D161" s="117"/>
      <c r="E161" s="117"/>
      <c r="F161" s="117"/>
      <c r="G161" s="117"/>
      <c r="H161" s="27"/>
    </row>
    <row r="162" spans="1:8">
      <c r="A162" s="33"/>
      <c r="B162" s="7"/>
      <c r="C162" s="7"/>
      <c r="D162" s="117"/>
      <c r="E162" s="117"/>
      <c r="F162" s="117"/>
      <c r="G162" s="117"/>
      <c r="H162" s="27"/>
    </row>
    <row r="163" spans="1:8">
      <c r="A163" s="33"/>
      <c r="B163" s="7"/>
      <c r="C163" s="7"/>
      <c r="D163" s="117"/>
      <c r="E163" s="117"/>
      <c r="F163" s="117"/>
      <c r="G163" s="117"/>
      <c r="H163" s="27"/>
    </row>
    <row r="164" spans="1:8">
      <c r="A164" s="33"/>
      <c r="B164" s="7"/>
      <c r="C164" s="7"/>
      <c r="D164" s="117"/>
      <c r="E164" s="117"/>
      <c r="F164" s="117"/>
      <c r="G164" s="117"/>
      <c r="H164" s="27"/>
    </row>
    <row r="165" spans="1:8">
      <c r="A165" s="33"/>
      <c r="B165" s="7"/>
      <c r="C165" s="7"/>
      <c r="D165" s="117"/>
      <c r="E165" s="117"/>
      <c r="F165" s="117"/>
      <c r="G165" s="117"/>
      <c r="H165" s="27"/>
    </row>
    <row r="166" spans="1:8">
      <c r="A166" s="33"/>
      <c r="B166" s="7"/>
      <c r="C166" s="7"/>
      <c r="D166" s="117"/>
      <c r="E166" s="117"/>
      <c r="F166" s="117"/>
      <c r="G166" s="117"/>
      <c r="H166" s="27"/>
    </row>
    <row r="167" spans="1:8">
      <c r="A167" s="33"/>
      <c r="B167" s="7"/>
      <c r="C167" s="7"/>
      <c r="D167" s="117"/>
      <c r="E167" s="117"/>
      <c r="F167" s="117"/>
      <c r="G167" s="117"/>
      <c r="H167" s="27"/>
    </row>
    <row r="168" spans="1:8">
      <c r="A168" s="33"/>
      <c r="B168" s="7"/>
      <c r="C168" s="7"/>
      <c r="D168" s="117"/>
      <c r="E168" s="117"/>
      <c r="F168" s="117"/>
      <c r="G168" s="117"/>
      <c r="H168" s="27"/>
    </row>
    <row r="169" spans="1:8">
      <c r="A169" s="33"/>
      <c r="B169" s="7"/>
      <c r="C169" s="7"/>
      <c r="D169" s="117"/>
      <c r="E169" s="117"/>
      <c r="F169" s="117"/>
      <c r="G169" s="117"/>
      <c r="H169" s="27"/>
    </row>
    <row r="170" spans="1:8">
      <c r="A170" s="33"/>
      <c r="B170" s="7"/>
      <c r="C170" s="7"/>
      <c r="D170" s="117"/>
      <c r="E170" s="117"/>
      <c r="F170" s="117"/>
      <c r="G170" s="117"/>
      <c r="H170" s="27"/>
    </row>
    <row r="171" spans="1:8">
      <c r="A171" s="33"/>
      <c r="B171" s="7"/>
      <c r="C171" s="7"/>
      <c r="D171" s="117"/>
      <c r="E171" s="117"/>
      <c r="F171" s="117"/>
      <c r="G171" s="117"/>
      <c r="H171" s="27"/>
    </row>
    <row r="172" spans="1:8">
      <c r="A172" s="33"/>
      <c r="B172" s="7"/>
      <c r="C172" s="7"/>
      <c r="D172" s="117"/>
      <c r="E172" s="117"/>
      <c r="F172" s="117"/>
      <c r="G172" s="117"/>
      <c r="H172" s="27"/>
    </row>
    <row r="173" spans="1:8">
      <c r="A173" s="33"/>
      <c r="B173" s="7"/>
      <c r="C173" s="7"/>
      <c r="D173" s="117"/>
      <c r="E173" s="117"/>
      <c r="F173" s="117"/>
      <c r="G173" s="117"/>
      <c r="H173" s="27"/>
    </row>
    <row r="174" spans="1:8">
      <c r="A174" s="33"/>
      <c r="B174" s="7"/>
      <c r="C174" s="7"/>
      <c r="D174" s="117"/>
      <c r="E174" s="117"/>
      <c r="F174" s="117"/>
      <c r="G174" s="117"/>
      <c r="H174" s="27"/>
    </row>
    <row r="175" spans="1:8">
      <c r="A175" s="33"/>
      <c r="B175" s="7"/>
      <c r="C175" s="7"/>
      <c r="D175" s="117"/>
      <c r="E175" s="117"/>
      <c r="F175" s="117"/>
      <c r="G175" s="117"/>
      <c r="H175" s="27"/>
    </row>
    <row r="176" spans="1:8" ht="13.8" thickBot="1">
      <c r="A176" s="59"/>
      <c r="B176" s="37"/>
      <c r="C176" s="37"/>
      <c r="D176" s="112"/>
      <c r="E176" s="112"/>
      <c r="F176" s="112"/>
      <c r="G176" s="112"/>
      <c r="H176" s="38"/>
    </row>
    <row r="177" spans="1:8" ht="26.4">
      <c r="A177" s="50" t="s">
        <v>176</v>
      </c>
      <c r="B177" s="24"/>
      <c r="C177" s="24" t="s">
        <v>177</v>
      </c>
      <c r="D177" s="24" t="s">
        <v>175</v>
      </c>
      <c r="E177" s="24"/>
      <c r="F177" s="24" t="s">
        <v>178</v>
      </c>
      <c r="G177" s="24"/>
      <c r="H177" s="25"/>
    </row>
    <row r="178" spans="1:8">
      <c r="A178" s="120"/>
      <c r="B178" s="117"/>
      <c r="C178" s="63"/>
      <c r="D178" s="117"/>
      <c r="E178" s="117"/>
      <c r="F178" s="117"/>
      <c r="G178" s="117"/>
      <c r="H178" s="118"/>
    </row>
    <row r="179" spans="1:8">
      <c r="A179" s="120"/>
      <c r="B179" s="117"/>
      <c r="C179" s="63"/>
      <c r="D179" s="117"/>
      <c r="E179" s="117"/>
      <c r="F179" s="117"/>
      <c r="G179" s="117"/>
      <c r="H179" s="118"/>
    </row>
    <row r="180" spans="1:8">
      <c r="A180" s="120"/>
      <c r="B180" s="117"/>
      <c r="C180" s="63"/>
      <c r="D180" s="117"/>
      <c r="E180" s="117"/>
      <c r="F180" s="117"/>
      <c r="G180" s="117"/>
      <c r="H180" s="118"/>
    </row>
    <row r="181" spans="1:8">
      <c r="A181" s="120"/>
      <c r="B181" s="117"/>
      <c r="C181" s="63"/>
      <c r="D181" s="117"/>
      <c r="E181" s="117"/>
      <c r="F181" s="117"/>
      <c r="G181" s="117"/>
      <c r="H181" s="118"/>
    </row>
    <row r="182" spans="1:8">
      <c r="A182" s="120"/>
      <c r="B182" s="117"/>
      <c r="C182" s="63"/>
      <c r="D182" s="117"/>
      <c r="E182" s="117"/>
      <c r="F182" s="117"/>
      <c r="G182" s="117"/>
      <c r="H182" s="118"/>
    </row>
    <row r="183" spans="1:8">
      <c r="A183" s="120"/>
      <c r="B183" s="117"/>
      <c r="C183" s="63"/>
      <c r="D183" s="117"/>
      <c r="E183" s="117"/>
      <c r="F183" s="117"/>
      <c r="G183" s="117"/>
      <c r="H183" s="118"/>
    </row>
    <row r="184" spans="1:8">
      <c r="A184" s="120"/>
      <c r="B184" s="117"/>
      <c r="C184" s="63"/>
      <c r="D184" s="117"/>
      <c r="E184" s="117"/>
      <c r="F184" s="117"/>
      <c r="G184" s="117"/>
      <c r="H184" s="118"/>
    </row>
    <row r="185" spans="1:8">
      <c r="A185" s="120"/>
      <c r="B185" s="117"/>
      <c r="C185" s="63"/>
      <c r="D185" s="117"/>
      <c r="E185" s="117"/>
      <c r="F185" s="117"/>
      <c r="G185" s="117"/>
      <c r="H185" s="118"/>
    </row>
    <row r="186" spans="1:8">
      <c r="A186" s="120"/>
      <c r="B186" s="117"/>
      <c r="C186" s="63"/>
      <c r="D186" s="117"/>
      <c r="E186" s="117"/>
      <c r="F186" s="117"/>
      <c r="G186" s="117"/>
      <c r="H186" s="118"/>
    </row>
    <row r="187" spans="1:8">
      <c r="A187" s="120"/>
      <c r="B187" s="117"/>
      <c r="C187" s="63"/>
      <c r="D187" s="117"/>
      <c r="E187" s="117"/>
      <c r="F187" s="117"/>
      <c r="G187" s="117"/>
      <c r="H187" s="118"/>
    </row>
    <row r="188" spans="1:8">
      <c r="A188" s="120"/>
      <c r="B188" s="117"/>
      <c r="C188" s="63"/>
      <c r="D188" s="117"/>
      <c r="E188" s="117"/>
      <c r="F188" s="117"/>
      <c r="G188" s="117"/>
      <c r="H188" s="118"/>
    </row>
    <row r="189" spans="1:8">
      <c r="A189" s="120"/>
      <c r="B189" s="117"/>
      <c r="C189" s="7"/>
      <c r="D189" s="117"/>
      <c r="E189" s="117"/>
      <c r="F189" s="117"/>
      <c r="G189" s="117"/>
      <c r="H189" s="118"/>
    </row>
    <row r="190" spans="1:8" ht="13.8" thickBot="1">
      <c r="A190" s="119"/>
      <c r="B190" s="112"/>
      <c r="C190" s="37"/>
      <c r="D190" s="112"/>
      <c r="E190" s="112"/>
      <c r="F190" s="112"/>
      <c r="G190" s="112"/>
      <c r="H190" s="113"/>
    </row>
    <row r="191" spans="1:8">
      <c r="A191" s="56" t="s">
        <v>179</v>
      </c>
      <c r="B191" s="24"/>
      <c r="C191" s="24"/>
      <c r="D191" s="24"/>
      <c r="E191" s="24"/>
      <c r="F191" s="24"/>
      <c r="G191" s="24"/>
      <c r="H191" s="25"/>
    </row>
    <row r="192" spans="1:8">
      <c r="A192" s="114"/>
      <c r="B192" s="115"/>
      <c r="C192" s="115"/>
      <c r="D192" s="115"/>
      <c r="E192" s="115"/>
      <c r="F192" s="115"/>
      <c r="G192" s="115"/>
      <c r="H192" s="116"/>
    </row>
    <row r="193" spans="1:8">
      <c r="A193" s="26"/>
      <c r="B193" s="7"/>
      <c r="C193" s="7"/>
      <c r="D193" s="7"/>
      <c r="E193" s="7"/>
      <c r="F193" s="7"/>
      <c r="G193" s="7"/>
      <c r="H193" s="27"/>
    </row>
    <row r="194" spans="1:8" ht="13.8" thickBot="1">
      <c r="A194" s="34"/>
      <c r="B194" s="37"/>
      <c r="C194" s="37"/>
      <c r="D194" s="37"/>
      <c r="E194" s="37"/>
      <c r="F194" s="37"/>
      <c r="G194" s="37"/>
      <c r="H194" s="38"/>
    </row>
  </sheetData>
  <mergeCells count="90">
    <mergeCell ref="G68:H68"/>
    <mergeCell ref="G66:H66"/>
    <mergeCell ref="G65:H65"/>
    <mergeCell ref="B30:C30"/>
    <mergeCell ref="B28:C28"/>
    <mergeCell ref="D35:H35"/>
    <mergeCell ref="D34:H34"/>
    <mergeCell ref="D33:H33"/>
    <mergeCell ref="D32:H32"/>
    <mergeCell ref="A35:C35"/>
    <mergeCell ref="A34:C34"/>
    <mergeCell ref="A33:C33"/>
    <mergeCell ref="A32:C32"/>
    <mergeCell ref="A1:F1"/>
    <mergeCell ref="A15:B15"/>
    <mergeCell ref="C15:F15"/>
    <mergeCell ref="C20:F20"/>
    <mergeCell ref="B29:C29"/>
    <mergeCell ref="D158:G158"/>
    <mergeCell ref="D159:G159"/>
    <mergeCell ref="D160:G160"/>
    <mergeCell ref="D161:G161"/>
    <mergeCell ref="G67:H67"/>
    <mergeCell ref="D154:G154"/>
    <mergeCell ref="D155:G155"/>
    <mergeCell ref="D156:G156"/>
    <mergeCell ref="D157:G157"/>
    <mergeCell ref="D153:G153"/>
    <mergeCell ref="D152:G152"/>
    <mergeCell ref="D149:G149"/>
    <mergeCell ref="D150:G150"/>
    <mergeCell ref="D151:G151"/>
    <mergeCell ref="G70:H70"/>
    <mergeCell ref="G69:H69"/>
    <mergeCell ref="D171:G171"/>
    <mergeCell ref="D172:G172"/>
    <mergeCell ref="D173:G173"/>
    <mergeCell ref="D174:G174"/>
    <mergeCell ref="D162:G162"/>
    <mergeCell ref="D163:G163"/>
    <mergeCell ref="D164:G164"/>
    <mergeCell ref="D165:G165"/>
    <mergeCell ref="D166:G166"/>
    <mergeCell ref="D167:G167"/>
    <mergeCell ref="D168:G168"/>
    <mergeCell ref="D169:G169"/>
    <mergeCell ref="D170:G170"/>
    <mergeCell ref="F181:H181"/>
    <mergeCell ref="A184:B184"/>
    <mergeCell ref="A178:B178"/>
    <mergeCell ref="A179:B179"/>
    <mergeCell ref="A180:B180"/>
    <mergeCell ref="A181:B181"/>
    <mergeCell ref="A182:B182"/>
    <mergeCell ref="D184:E184"/>
    <mergeCell ref="F182:H182"/>
    <mergeCell ref="F183:H183"/>
    <mergeCell ref="F184:H184"/>
    <mergeCell ref="D181:E181"/>
    <mergeCell ref="D182:E182"/>
    <mergeCell ref="D175:G175"/>
    <mergeCell ref="D176:G176"/>
    <mergeCell ref="F178:H178"/>
    <mergeCell ref="F179:H179"/>
    <mergeCell ref="F180:H180"/>
    <mergeCell ref="D178:E178"/>
    <mergeCell ref="D179:E179"/>
    <mergeCell ref="D180:E180"/>
    <mergeCell ref="D186:E186"/>
    <mergeCell ref="F185:H185"/>
    <mergeCell ref="A183:B183"/>
    <mergeCell ref="D183:E183"/>
    <mergeCell ref="A185:B185"/>
    <mergeCell ref="D185:E185"/>
    <mergeCell ref="J72:O72"/>
    <mergeCell ref="F190:H190"/>
    <mergeCell ref="A192:H192"/>
    <mergeCell ref="F186:H186"/>
    <mergeCell ref="F187:H187"/>
    <mergeCell ref="F188:H188"/>
    <mergeCell ref="F189:H189"/>
    <mergeCell ref="D187:E187"/>
    <mergeCell ref="D188:E188"/>
    <mergeCell ref="D189:E189"/>
    <mergeCell ref="D190:E190"/>
    <mergeCell ref="A190:B190"/>
    <mergeCell ref="A188:B188"/>
    <mergeCell ref="A189:B189"/>
    <mergeCell ref="A187:B187"/>
    <mergeCell ref="A186:B186"/>
  </mergeCells>
  <phoneticPr fontId="1" type="noConversion"/>
  <conditionalFormatting sqref="D128:D148">
    <cfRule type="containsBlanks" priority="8" stopIfTrue="1">
      <formula>LEN(TRIM(D128))=0</formula>
    </cfRule>
    <cfRule type="cellIs" dxfId="5" priority="9" stopIfTrue="1" operator="greaterThanOrEqual">
      <formula>C128</formula>
    </cfRule>
  </conditionalFormatting>
  <conditionalFormatting sqref="D106:D126">
    <cfRule type="containsBlanks" priority="6" stopIfTrue="1">
      <formula>LEN(TRIM(D106))=0</formula>
    </cfRule>
    <cfRule type="cellIs" dxfId="4" priority="7" stopIfTrue="1" operator="greaterThanOrEqual">
      <formula>C106</formula>
    </cfRule>
  </conditionalFormatting>
  <conditionalFormatting sqref="G73:G104">
    <cfRule type="containsBlanks" priority="4" stopIfTrue="1">
      <formula>LEN(TRIM(G73))=0</formula>
    </cfRule>
    <cfRule type="cellIs" dxfId="3" priority="5" stopIfTrue="1" operator="greaterThanOrEqual">
      <formula>F73</formula>
    </cfRule>
  </conditionalFormatting>
  <conditionalFormatting sqref="C73:C104">
    <cfRule type="cellIs" dxfId="2" priority="3" operator="greaterThan">
      <formula>$D$71</formula>
    </cfRule>
  </conditionalFormatting>
  <conditionalFormatting sqref="B106:B126">
    <cfRule type="cellIs" dxfId="1" priority="2" operator="greaterThan">
      <formula>E106</formula>
    </cfRule>
  </conditionalFormatting>
  <conditionalFormatting sqref="B128:B148">
    <cfRule type="cellIs" dxfId="0" priority="1" operator="greaterThan">
      <formula>E128</formula>
    </cfRule>
  </conditionalFormatting>
  <dataValidations count="3">
    <dataValidation type="list" allowBlank="1" showInputMessage="1" showErrorMessage="1" sqref="G3">
      <formula1>"Human, Elf, Faerry, Dwarf"</formula1>
    </dataValidation>
    <dataValidation type="list" allowBlank="1" showInputMessage="1" showErrorMessage="1" sqref="H3">
      <formula1>"Male, Female"</formula1>
    </dataValidation>
    <dataValidation type="list" allowBlank="1" showInputMessage="1" showErrorMessage="1" sqref="B20">
      <formula1>"Wizardry, Shaman, Sidh, Priest, Shadow"</formula1>
    </dataValidation>
  </dataValidations>
  <pageMargins left="0.75" right="0.75" top="1" bottom="1" header="0.5" footer="0.5"/>
  <pageSetup orientation="landscape" horizontalDpi="300" verticalDpi="300" r:id="rId1"/>
  <headerFooter alignWithMargins="0"/>
  <legacyDrawing r:id="rId2"/>
  <controls>
    <control shapeId="1028" r:id="rId3" name="cmdNativeAbilityGen"/>
    <control shapeId="1033" r:id="rId4" name="cmdFixSkills"/>
  </controls>
</worksheet>
</file>

<file path=xl/worksheets/sheet2.xml><?xml version="1.0" encoding="utf-8"?>
<worksheet xmlns="http://schemas.openxmlformats.org/spreadsheetml/2006/main" xmlns:r="http://schemas.openxmlformats.org/officeDocument/2006/relationships">
  <sheetPr codeName="Sheet2"/>
  <dimension ref="A1:H118"/>
  <sheetViews>
    <sheetView workbookViewId="0">
      <pane ySplit="1" topLeftCell="A2" activePane="bottomLeft" state="frozen"/>
      <selection pane="bottomLeft" activeCell="B131" sqref="B131"/>
    </sheetView>
  </sheetViews>
  <sheetFormatPr defaultRowHeight="13.2"/>
  <cols>
    <col min="1" max="1" width="24" bestFit="1" customWidth="1"/>
    <col min="2" max="2" width="8.6640625" customWidth="1"/>
    <col min="3" max="3" width="10.88671875" bestFit="1" customWidth="1"/>
    <col min="4" max="4" width="26.33203125" customWidth="1"/>
    <col min="5" max="5" width="80.5546875" bestFit="1" customWidth="1"/>
  </cols>
  <sheetData>
    <row r="1" spans="1:8" s="64" customFormat="1" ht="26.4">
      <c r="A1" s="64" t="s">
        <v>180</v>
      </c>
      <c r="B1" s="64" t="s">
        <v>181</v>
      </c>
      <c r="C1" s="64" t="s">
        <v>182</v>
      </c>
      <c r="D1" s="64" t="s">
        <v>183</v>
      </c>
      <c r="E1" s="64" t="s">
        <v>184</v>
      </c>
    </row>
    <row r="2" spans="1:8" s="64" customFormat="1">
      <c r="A2" s="64" t="s">
        <v>244</v>
      </c>
      <c r="B2" s="67"/>
      <c r="C2" s="67"/>
      <c r="D2" s="67"/>
      <c r="E2" s="67"/>
    </row>
    <row r="3" spans="1:8">
      <c r="A3" t="s">
        <v>185</v>
      </c>
      <c r="B3">
        <v>40</v>
      </c>
      <c r="C3" s="75" t="s">
        <v>154</v>
      </c>
      <c r="D3" s="75" t="s">
        <v>367</v>
      </c>
    </row>
    <row r="4" spans="1:8">
      <c r="A4" t="s">
        <v>186</v>
      </c>
      <c r="B4">
        <v>150</v>
      </c>
      <c r="C4">
        <v>8</v>
      </c>
      <c r="D4" s="75" t="s">
        <v>368</v>
      </c>
    </row>
    <row r="5" spans="1:8">
      <c r="A5" t="s">
        <v>160</v>
      </c>
      <c r="B5">
        <v>100</v>
      </c>
      <c r="C5">
        <v>9</v>
      </c>
      <c r="D5" s="75" t="s">
        <v>369</v>
      </c>
      <c r="E5" s="75" t="s">
        <v>350</v>
      </c>
    </row>
    <row r="6" spans="1:8">
      <c r="A6" t="s">
        <v>187</v>
      </c>
      <c r="B6">
        <v>60</v>
      </c>
      <c r="C6">
        <v>5</v>
      </c>
      <c r="D6" s="75" t="s">
        <v>370</v>
      </c>
      <c r="E6" s="75" t="s">
        <v>354</v>
      </c>
    </row>
    <row r="7" spans="1:8" ht="39.6">
      <c r="A7" t="s">
        <v>188</v>
      </c>
      <c r="B7">
        <v>200</v>
      </c>
      <c r="C7" s="75" t="s">
        <v>233</v>
      </c>
      <c r="D7" s="75" t="s">
        <v>371</v>
      </c>
      <c r="E7" s="84" t="s">
        <v>292</v>
      </c>
    </row>
    <row r="8" spans="1:8" ht="105.6">
      <c r="A8" s="75" t="s">
        <v>327</v>
      </c>
      <c r="B8">
        <v>50</v>
      </c>
      <c r="C8">
        <v>10</v>
      </c>
      <c r="D8" s="75" t="s">
        <v>372</v>
      </c>
      <c r="E8" s="103" t="s">
        <v>328</v>
      </c>
      <c r="H8" s="104" t="s">
        <v>330</v>
      </c>
    </row>
    <row r="9" spans="1:8">
      <c r="A9" t="s">
        <v>189</v>
      </c>
      <c r="B9">
        <v>10</v>
      </c>
      <c r="C9">
        <v>5</v>
      </c>
      <c r="D9" s="75" t="s">
        <v>373</v>
      </c>
      <c r="E9" s="75" t="s">
        <v>349</v>
      </c>
    </row>
    <row r="10" spans="1:8" ht="79.2">
      <c r="A10" s="75" t="s">
        <v>329</v>
      </c>
      <c r="B10">
        <v>40</v>
      </c>
      <c r="C10">
        <v>9</v>
      </c>
      <c r="D10" s="75" t="s">
        <v>374</v>
      </c>
      <c r="E10" s="105" t="s">
        <v>330</v>
      </c>
    </row>
    <row r="11" spans="1:8">
      <c r="A11" t="s">
        <v>164</v>
      </c>
      <c r="B11">
        <v>45</v>
      </c>
      <c r="C11">
        <v>7</v>
      </c>
      <c r="D11" s="75" t="s">
        <v>375</v>
      </c>
      <c r="E11" s="75" t="s">
        <v>351</v>
      </c>
    </row>
    <row r="12" spans="1:8">
      <c r="A12" t="s">
        <v>190</v>
      </c>
      <c r="B12">
        <v>10</v>
      </c>
      <c r="C12">
        <v>3</v>
      </c>
      <c r="D12" s="75" t="s">
        <v>376</v>
      </c>
    </row>
    <row r="13" spans="1:8">
      <c r="A13" t="s">
        <v>191</v>
      </c>
      <c r="B13">
        <v>10</v>
      </c>
      <c r="C13">
        <v>5</v>
      </c>
      <c r="D13" s="75" t="s">
        <v>377</v>
      </c>
    </row>
    <row r="14" spans="1:8">
      <c r="A14" t="s">
        <v>192</v>
      </c>
      <c r="B14">
        <v>10</v>
      </c>
      <c r="C14">
        <v>2</v>
      </c>
      <c r="D14" s="75" t="s">
        <v>378</v>
      </c>
    </row>
    <row r="15" spans="1:8">
      <c r="A15" t="s">
        <v>161</v>
      </c>
      <c r="B15">
        <v>25</v>
      </c>
      <c r="C15" t="s">
        <v>154</v>
      </c>
      <c r="D15" s="75" t="s">
        <v>379</v>
      </c>
      <c r="E15" s="75" t="s">
        <v>355</v>
      </c>
    </row>
    <row r="16" spans="1:8">
      <c r="A16" t="s">
        <v>193</v>
      </c>
      <c r="B16">
        <v>10</v>
      </c>
      <c r="C16">
        <v>4</v>
      </c>
      <c r="D16" s="75" t="s">
        <v>380</v>
      </c>
    </row>
    <row r="17" spans="1:5">
      <c r="A17" t="s">
        <v>194</v>
      </c>
      <c r="B17">
        <v>15</v>
      </c>
      <c r="C17">
        <v>3</v>
      </c>
      <c r="D17" s="75" t="s">
        <v>381</v>
      </c>
      <c r="E17" t="s">
        <v>243</v>
      </c>
    </row>
    <row r="18" spans="1:5">
      <c r="A18" t="s">
        <v>195</v>
      </c>
      <c r="B18">
        <v>30</v>
      </c>
      <c r="C18">
        <v>5</v>
      </c>
      <c r="D18" s="75" t="s">
        <v>382</v>
      </c>
    </row>
    <row r="19" spans="1:5">
      <c r="A19" t="s">
        <v>196</v>
      </c>
    </row>
    <row r="20" spans="1:5">
      <c r="A20" s="65" t="s">
        <v>197</v>
      </c>
      <c r="B20">
        <v>40</v>
      </c>
      <c r="C20" t="s">
        <v>154</v>
      </c>
      <c r="D20" s="75" t="s">
        <v>383</v>
      </c>
    </row>
    <row r="21" spans="1:5">
      <c r="A21" s="65" t="s">
        <v>198</v>
      </c>
      <c r="B21">
        <v>40</v>
      </c>
      <c r="C21" t="s">
        <v>154</v>
      </c>
      <c r="D21" s="75" t="s">
        <v>384</v>
      </c>
    </row>
    <row r="22" spans="1:5">
      <c r="A22" s="65" t="s">
        <v>199</v>
      </c>
      <c r="B22">
        <v>40</v>
      </c>
      <c r="C22" t="s">
        <v>154</v>
      </c>
      <c r="D22" s="75" t="s">
        <v>385</v>
      </c>
    </row>
    <row r="23" spans="1:5">
      <c r="A23" s="65" t="s">
        <v>200</v>
      </c>
      <c r="B23">
        <v>40</v>
      </c>
      <c r="C23" t="s">
        <v>154</v>
      </c>
      <c r="D23" s="75" t="s">
        <v>386</v>
      </c>
    </row>
    <row r="24" spans="1:5">
      <c r="A24" s="66" t="s">
        <v>201</v>
      </c>
      <c r="B24">
        <v>70</v>
      </c>
      <c r="C24" t="s">
        <v>154</v>
      </c>
      <c r="D24" s="75" t="s">
        <v>387</v>
      </c>
    </row>
    <row r="25" spans="1:5">
      <c r="A25" s="66" t="s">
        <v>202</v>
      </c>
      <c r="B25">
        <v>30</v>
      </c>
      <c r="C25" t="s">
        <v>154</v>
      </c>
      <c r="D25" s="75" t="s">
        <v>388</v>
      </c>
    </row>
    <row r="26" spans="1:5">
      <c r="A26" s="66" t="s">
        <v>166</v>
      </c>
      <c r="B26">
        <v>10</v>
      </c>
      <c r="C26">
        <v>4</v>
      </c>
      <c r="D26" s="75" t="s">
        <v>381</v>
      </c>
      <c r="E26" s="75" t="s">
        <v>352</v>
      </c>
    </row>
    <row r="27" spans="1:5">
      <c r="A27" s="66" t="s">
        <v>203</v>
      </c>
      <c r="B27">
        <v>35</v>
      </c>
      <c r="C27">
        <v>8</v>
      </c>
      <c r="D27" s="75" t="s">
        <v>374</v>
      </c>
    </row>
    <row r="28" spans="1:5">
      <c r="A28" s="66" t="s">
        <v>204</v>
      </c>
      <c r="B28">
        <v>60</v>
      </c>
      <c r="C28" t="s">
        <v>232</v>
      </c>
      <c r="D28" s="75" t="s">
        <v>389</v>
      </c>
    </row>
    <row r="29" spans="1:5">
      <c r="A29" s="66" t="s">
        <v>205</v>
      </c>
      <c r="B29">
        <v>120</v>
      </c>
      <c r="C29">
        <v>20</v>
      </c>
      <c r="D29" s="75" t="s">
        <v>390</v>
      </c>
    </row>
    <row r="30" spans="1:5">
      <c r="A30" s="66" t="s">
        <v>162</v>
      </c>
      <c r="B30">
        <v>80</v>
      </c>
      <c r="C30">
        <v>7</v>
      </c>
      <c r="D30" s="75" t="s">
        <v>376</v>
      </c>
    </row>
    <row r="31" spans="1:5" ht="79.2">
      <c r="A31" s="86" t="s">
        <v>331</v>
      </c>
      <c r="B31">
        <v>40</v>
      </c>
      <c r="C31">
        <v>9</v>
      </c>
      <c r="D31" s="75" t="s">
        <v>374</v>
      </c>
      <c r="E31" s="103" t="s">
        <v>332</v>
      </c>
    </row>
    <row r="32" spans="1:5">
      <c r="A32" s="86" t="s">
        <v>321</v>
      </c>
      <c r="B32">
        <v>30</v>
      </c>
      <c r="C32">
        <v>8</v>
      </c>
      <c r="D32" s="75" t="s">
        <v>391</v>
      </c>
      <c r="E32" s="75" t="s">
        <v>322</v>
      </c>
    </row>
    <row r="33" spans="1:5">
      <c r="A33" s="66" t="s">
        <v>165</v>
      </c>
      <c r="B33">
        <v>100</v>
      </c>
      <c r="C33">
        <v>10</v>
      </c>
      <c r="D33" s="75" t="s">
        <v>381</v>
      </c>
    </row>
    <row r="34" spans="1:5">
      <c r="A34" s="66" t="s">
        <v>206</v>
      </c>
      <c r="B34">
        <v>30</v>
      </c>
      <c r="C34">
        <v>3</v>
      </c>
      <c r="D34">
        <v>60</v>
      </c>
      <c r="E34" t="s">
        <v>242</v>
      </c>
    </row>
    <row r="35" spans="1:5">
      <c r="A35" s="66" t="s">
        <v>207</v>
      </c>
      <c r="B35">
        <v>20</v>
      </c>
      <c r="C35">
        <v>2</v>
      </c>
      <c r="D35">
        <v>80</v>
      </c>
      <c r="E35" t="s">
        <v>241</v>
      </c>
    </row>
    <row r="36" spans="1:5">
      <c r="A36" s="66" t="s">
        <v>208</v>
      </c>
      <c r="B36">
        <v>25</v>
      </c>
      <c r="C36">
        <v>7</v>
      </c>
      <c r="D36" s="75" t="s">
        <v>381</v>
      </c>
    </row>
    <row r="37" spans="1:5">
      <c r="A37" s="66" t="s">
        <v>209</v>
      </c>
      <c r="B37">
        <v>10</v>
      </c>
      <c r="C37">
        <v>5</v>
      </c>
      <c r="D37" s="75" t="s">
        <v>392</v>
      </c>
    </row>
    <row r="38" spans="1:5">
      <c r="A38" s="66" t="s">
        <v>210</v>
      </c>
      <c r="B38">
        <v>45</v>
      </c>
      <c r="C38">
        <v>5</v>
      </c>
      <c r="D38" s="75" t="s">
        <v>393</v>
      </c>
    </row>
    <row r="39" spans="1:5">
      <c r="A39" s="66" t="s">
        <v>211</v>
      </c>
      <c r="B39">
        <v>30</v>
      </c>
      <c r="C39">
        <v>6</v>
      </c>
      <c r="D39" s="75" t="s">
        <v>392</v>
      </c>
    </row>
    <row r="40" spans="1:5">
      <c r="A40" s="66" t="s">
        <v>212</v>
      </c>
      <c r="B40">
        <v>60</v>
      </c>
      <c r="C40">
        <v>5</v>
      </c>
      <c r="D40" s="75" t="s">
        <v>394</v>
      </c>
    </row>
    <row r="41" spans="1:5" ht="79.2">
      <c r="A41" s="86" t="s">
        <v>333</v>
      </c>
      <c r="B41">
        <v>40</v>
      </c>
      <c r="C41">
        <v>9</v>
      </c>
      <c r="D41" s="75" t="s">
        <v>374</v>
      </c>
      <c r="E41" s="103" t="s">
        <v>334</v>
      </c>
    </row>
    <row r="42" spans="1:5">
      <c r="A42" s="66" t="s">
        <v>213</v>
      </c>
      <c r="B42">
        <v>80</v>
      </c>
      <c r="C42">
        <v>12</v>
      </c>
      <c r="D42" s="75" t="s">
        <v>395</v>
      </c>
      <c r="E42" t="s">
        <v>240</v>
      </c>
    </row>
    <row r="43" spans="1:5">
      <c r="A43" s="66" t="s">
        <v>214</v>
      </c>
      <c r="B43">
        <v>10</v>
      </c>
      <c r="C43">
        <v>4</v>
      </c>
      <c r="D43" s="75" t="s">
        <v>380</v>
      </c>
    </row>
    <row r="44" spans="1:5">
      <c r="A44" s="66" t="s">
        <v>215</v>
      </c>
      <c r="B44">
        <v>45</v>
      </c>
      <c r="C44">
        <v>3</v>
      </c>
      <c r="D44" s="75" t="s">
        <v>376</v>
      </c>
      <c r="E44" t="s">
        <v>239</v>
      </c>
    </row>
    <row r="45" spans="1:5">
      <c r="A45" s="66" t="s">
        <v>216</v>
      </c>
      <c r="B45">
        <v>30</v>
      </c>
      <c r="C45" t="s">
        <v>154</v>
      </c>
      <c r="D45" s="75" t="s">
        <v>386</v>
      </c>
    </row>
    <row r="46" spans="1:5">
      <c r="A46" s="66" t="s">
        <v>217</v>
      </c>
      <c r="B46">
        <v>30</v>
      </c>
      <c r="C46">
        <v>4</v>
      </c>
      <c r="D46" s="75" t="s">
        <v>396</v>
      </c>
    </row>
    <row r="47" spans="1:5" ht="39.6">
      <c r="A47" s="86" t="s">
        <v>339</v>
      </c>
      <c r="B47">
        <v>20</v>
      </c>
      <c r="C47">
        <v>15</v>
      </c>
      <c r="D47" s="75" t="s">
        <v>397</v>
      </c>
      <c r="E47" s="103" t="s">
        <v>340</v>
      </c>
    </row>
    <row r="48" spans="1:5">
      <c r="A48" s="66" t="s">
        <v>218</v>
      </c>
      <c r="B48">
        <v>100</v>
      </c>
      <c r="C48">
        <v>6</v>
      </c>
      <c r="D48" s="75" t="s">
        <v>368</v>
      </c>
      <c r="E48" s="75" t="s">
        <v>353</v>
      </c>
    </row>
    <row r="49" spans="1:5" ht="39.6">
      <c r="A49" s="66" t="s">
        <v>219</v>
      </c>
      <c r="B49">
        <v>25</v>
      </c>
      <c r="C49">
        <v>5</v>
      </c>
      <c r="D49" s="75" t="s">
        <v>398</v>
      </c>
      <c r="E49" s="103" t="s">
        <v>337</v>
      </c>
    </row>
    <row r="50" spans="1:5">
      <c r="A50" s="66" t="s">
        <v>220</v>
      </c>
      <c r="B50">
        <v>10</v>
      </c>
      <c r="C50">
        <v>3</v>
      </c>
      <c r="D50" s="75" t="s">
        <v>399</v>
      </c>
    </row>
    <row r="51" spans="1:5">
      <c r="A51" s="66" t="s">
        <v>221</v>
      </c>
      <c r="B51">
        <v>15</v>
      </c>
      <c r="C51">
        <v>2</v>
      </c>
      <c r="D51" s="75" t="s">
        <v>376</v>
      </c>
    </row>
    <row r="52" spans="1:5">
      <c r="A52" s="66" t="s">
        <v>222</v>
      </c>
      <c r="B52">
        <v>120</v>
      </c>
      <c r="C52">
        <v>8</v>
      </c>
      <c r="D52" s="75" t="s">
        <v>400</v>
      </c>
    </row>
    <row r="53" spans="1:5">
      <c r="A53" s="66" t="s">
        <v>223</v>
      </c>
      <c r="B53">
        <v>60</v>
      </c>
      <c r="C53">
        <v>5</v>
      </c>
      <c r="D53" s="75" t="s">
        <v>401</v>
      </c>
    </row>
    <row r="54" spans="1:5">
      <c r="A54" s="66" t="s">
        <v>224</v>
      </c>
      <c r="B54">
        <v>20</v>
      </c>
      <c r="C54">
        <v>15</v>
      </c>
      <c r="D54" s="75" t="s">
        <v>397</v>
      </c>
      <c r="E54" s="75" t="s">
        <v>338</v>
      </c>
    </row>
    <row r="55" spans="1:5">
      <c r="A55" s="66" t="s">
        <v>225</v>
      </c>
      <c r="B55">
        <v>15</v>
      </c>
      <c r="C55" t="s">
        <v>232</v>
      </c>
      <c r="D55" s="75" t="s">
        <v>402</v>
      </c>
    </row>
    <row r="56" spans="1:5">
      <c r="A56" s="66" t="s">
        <v>226</v>
      </c>
      <c r="B56">
        <v>10</v>
      </c>
      <c r="C56">
        <v>5</v>
      </c>
      <c r="D56" s="75" t="s">
        <v>403</v>
      </c>
    </row>
    <row r="57" spans="1:5">
      <c r="A57" s="66" t="s">
        <v>227</v>
      </c>
      <c r="B57">
        <v>10</v>
      </c>
      <c r="C57">
        <v>3</v>
      </c>
      <c r="D57" s="75" t="s">
        <v>403</v>
      </c>
      <c r="E57" t="s">
        <v>238</v>
      </c>
    </row>
    <row r="58" spans="1:5">
      <c r="A58" s="66" t="s">
        <v>228</v>
      </c>
      <c r="B58" t="s">
        <v>231</v>
      </c>
      <c r="C58">
        <v>10</v>
      </c>
      <c r="D58" s="75" t="s">
        <v>404</v>
      </c>
    </row>
    <row r="59" spans="1:5">
      <c r="A59" s="66" t="s">
        <v>159</v>
      </c>
      <c r="B59">
        <v>20</v>
      </c>
      <c r="C59" t="s">
        <v>154</v>
      </c>
      <c r="D59" s="75" t="s">
        <v>405</v>
      </c>
      <c r="E59" t="s">
        <v>234</v>
      </c>
    </row>
    <row r="60" spans="1:5">
      <c r="A60" s="66" t="s">
        <v>229</v>
      </c>
      <c r="B60">
        <v>15</v>
      </c>
      <c r="C60">
        <v>4</v>
      </c>
      <c r="D60" s="75" t="s">
        <v>406</v>
      </c>
      <c r="E60" t="s">
        <v>235</v>
      </c>
    </row>
    <row r="61" spans="1:5">
      <c r="A61" s="66" t="s">
        <v>230</v>
      </c>
      <c r="B61">
        <v>15</v>
      </c>
      <c r="C61">
        <v>4</v>
      </c>
      <c r="D61" s="75" t="s">
        <v>376</v>
      </c>
      <c r="E61" t="s">
        <v>236</v>
      </c>
    </row>
    <row r="62" spans="1:5" ht="39.6">
      <c r="A62" s="86" t="s">
        <v>335</v>
      </c>
      <c r="B62">
        <v>25</v>
      </c>
      <c r="C62">
        <v>5</v>
      </c>
      <c r="D62" s="75" t="s">
        <v>398</v>
      </c>
      <c r="E62" s="103" t="s">
        <v>336</v>
      </c>
    </row>
    <row r="63" spans="1:5" ht="13.8" thickBot="1">
      <c r="A63" s="69" t="s">
        <v>163</v>
      </c>
      <c r="B63" s="37">
        <v>100</v>
      </c>
      <c r="C63" s="37">
        <v>12</v>
      </c>
      <c r="D63" s="110" t="s">
        <v>407</v>
      </c>
      <c r="E63" s="37" t="s">
        <v>237</v>
      </c>
    </row>
    <row r="64" spans="1:5">
      <c r="A64" s="66" t="s">
        <v>245</v>
      </c>
      <c r="B64" s="68"/>
      <c r="C64" s="68"/>
      <c r="D64" s="68"/>
      <c r="E64" s="68"/>
    </row>
    <row r="65" spans="1:5">
      <c r="A65" s="66" t="s">
        <v>246</v>
      </c>
      <c r="B65" s="53">
        <v>18</v>
      </c>
      <c r="C65" t="s">
        <v>153</v>
      </c>
      <c r="D65" s="99" t="s">
        <v>408</v>
      </c>
      <c r="E65" s="53" t="s">
        <v>266</v>
      </c>
    </row>
    <row r="66" spans="1:5">
      <c r="A66" s="65" t="s">
        <v>128</v>
      </c>
      <c r="B66" s="53">
        <v>18</v>
      </c>
      <c r="C66" t="s">
        <v>153</v>
      </c>
      <c r="D66" s="99" t="s">
        <v>408</v>
      </c>
      <c r="E66" s="53" t="s">
        <v>265</v>
      </c>
    </row>
    <row r="67" spans="1:5">
      <c r="A67" s="65" t="s">
        <v>263</v>
      </c>
      <c r="B67" s="53">
        <v>18</v>
      </c>
      <c r="C67" t="s">
        <v>153</v>
      </c>
      <c r="D67" s="99" t="s">
        <v>408</v>
      </c>
    </row>
    <row r="68" spans="1:5">
      <c r="A68" s="65" t="s">
        <v>246</v>
      </c>
      <c r="B68" s="53">
        <v>18</v>
      </c>
      <c r="C68" t="s">
        <v>153</v>
      </c>
      <c r="D68" s="99" t="s">
        <v>408</v>
      </c>
    </row>
    <row r="69" spans="1:5">
      <c r="A69" s="65" t="s">
        <v>264</v>
      </c>
      <c r="B69" s="53">
        <v>18</v>
      </c>
      <c r="C69" t="s">
        <v>153</v>
      </c>
      <c r="D69" s="99" t="s">
        <v>408</v>
      </c>
    </row>
    <row r="70" spans="1:5">
      <c r="A70" s="66" t="s">
        <v>117</v>
      </c>
      <c r="B70" s="53">
        <v>27</v>
      </c>
      <c r="C70" t="s">
        <v>155</v>
      </c>
      <c r="D70" s="99" t="s">
        <v>409</v>
      </c>
      <c r="E70" s="53" t="s">
        <v>266</v>
      </c>
    </row>
    <row r="71" spans="1:5">
      <c r="A71" s="65" t="s">
        <v>117</v>
      </c>
      <c r="B71" s="53">
        <v>27</v>
      </c>
      <c r="C71" t="s">
        <v>155</v>
      </c>
      <c r="D71" s="99" t="s">
        <v>409</v>
      </c>
      <c r="E71" s="53"/>
    </row>
    <row r="72" spans="1:5">
      <c r="A72" s="65" t="s">
        <v>118</v>
      </c>
      <c r="B72" s="53">
        <v>27</v>
      </c>
      <c r="C72" t="s">
        <v>155</v>
      </c>
      <c r="D72" s="99" t="s">
        <v>409</v>
      </c>
      <c r="E72" s="53"/>
    </row>
    <row r="73" spans="1:5">
      <c r="A73" s="65" t="s">
        <v>102</v>
      </c>
      <c r="B73" s="53">
        <v>27</v>
      </c>
      <c r="C73" t="s">
        <v>155</v>
      </c>
      <c r="D73" s="99" t="s">
        <v>409</v>
      </c>
      <c r="E73" s="53"/>
    </row>
    <row r="74" spans="1:5">
      <c r="A74" s="66" t="s">
        <v>247</v>
      </c>
      <c r="B74" s="53">
        <v>35</v>
      </c>
      <c r="C74" t="s">
        <v>260</v>
      </c>
      <c r="D74" s="99" t="s">
        <v>410</v>
      </c>
      <c r="E74" s="53" t="s">
        <v>266</v>
      </c>
    </row>
    <row r="75" spans="1:5">
      <c r="A75" s="65" t="s">
        <v>122</v>
      </c>
      <c r="B75" s="53">
        <v>35</v>
      </c>
      <c r="C75" t="s">
        <v>260</v>
      </c>
      <c r="D75" s="99" t="s">
        <v>410</v>
      </c>
      <c r="E75" s="53"/>
    </row>
    <row r="76" spans="1:5">
      <c r="A76" s="65" t="s">
        <v>120</v>
      </c>
      <c r="B76" s="53">
        <v>35</v>
      </c>
      <c r="C76" t="s">
        <v>260</v>
      </c>
      <c r="D76" s="99" t="s">
        <v>410</v>
      </c>
      <c r="E76" s="53"/>
    </row>
    <row r="77" spans="1:5">
      <c r="A77" s="65" t="s">
        <v>115</v>
      </c>
      <c r="B77" s="53">
        <v>35</v>
      </c>
      <c r="C77" t="s">
        <v>260</v>
      </c>
      <c r="D77" s="99" t="s">
        <v>410</v>
      </c>
      <c r="E77" s="53"/>
    </row>
    <row r="78" spans="1:5">
      <c r="A78" s="66" t="s">
        <v>248</v>
      </c>
      <c r="B78" s="53">
        <v>16</v>
      </c>
      <c r="C78" t="s">
        <v>232</v>
      </c>
      <c r="D78" s="99" t="s">
        <v>411</v>
      </c>
      <c r="E78" s="53" t="s">
        <v>270</v>
      </c>
    </row>
    <row r="79" spans="1:5">
      <c r="A79" s="66" t="s">
        <v>249</v>
      </c>
      <c r="B79" s="53">
        <v>24</v>
      </c>
      <c r="C79" t="s">
        <v>261</v>
      </c>
      <c r="D79" s="99" t="s">
        <v>409</v>
      </c>
      <c r="E79" s="53" t="s">
        <v>270</v>
      </c>
    </row>
    <row r="80" spans="1:5">
      <c r="A80" s="66" t="s">
        <v>250</v>
      </c>
      <c r="B80" s="53">
        <v>25</v>
      </c>
      <c r="C80" t="s">
        <v>154</v>
      </c>
      <c r="D80" s="99" t="s">
        <v>412</v>
      </c>
      <c r="E80" s="53" t="s">
        <v>270</v>
      </c>
    </row>
    <row r="81" spans="1:5">
      <c r="A81" s="66" t="s">
        <v>251</v>
      </c>
      <c r="B81" s="53">
        <v>35</v>
      </c>
      <c r="C81" t="s">
        <v>260</v>
      </c>
      <c r="D81" s="99" t="s">
        <v>413</v>
      </c>
      <c r="E81" s="53" t="s">
        <v>270</v>
      </c>
    </row>
    <row r="82" spans="1:5">
      <c r="A82" s="66" t="s">
        <v>252</v>
      </c>
      <c r="B82" s="53">
        <v>25</v>
      </c>
      <c r="C82" t="s">
        <v>261</v>
      </c>
      <c r="D82" s="99" t="s">
        <v>408</v>
      </c>
      <c r="E82" s="53" t="s">
        <v>266</v>
      </c>
    </row>
    <row r="83" spans="1:5">
      <c r="A83" s="65" t="s">
        <v>267</v>
      </c>
      <c r="B83" s="53">
        <v>25</v>
      </c>
      <c r="C83" t="s">
        <v>261</v>
      </c>
      <c r="D83" s="99" t="s">
        <v>408</v>
      </c>
      <c r="E83" s="53"/>
    </row>
    <row r="84" spans="1:5">
      <c r="A84" s="65" t="s">
        <v>268</v>
      </c>
      <c r="B84" s="53">
        <v>25</v>
      </c>
      <c r="C84" t="s">
        <v>261</v>
      </c>
      <c r="D84" s="99" t="s">
        <v>408</v>
      </c>
      <c r="E84" s="53"/>
    </row>
    <row r="85" spans="1:5">
      <c r="A85" s="65" t="s">
        <v>269</v>
      </c>
      <c r="B85" s="53">
        <v>25</v>
      </c>
      <c r="C85" t="s">
        <v>261</v>
      </c>
      <c r="D85" s="99" t="s">
        <v>408</v>
      </c>
      <c r="E85" s="53"/>
    </row>
    <row r="86" spans="1:5">
      <c r="A86" s="66" t="s">
        <v>148</v>
      </c>
      <c r="B86" s="53">
        <v>10</v>
      </c>
      <c r="C86" t="s">
        <v>156</v>
      </c>
      <c r="D86" s="99" t="s">
        <v>409</v>
      </c>
      <c r="E86" s="53" t="s">
        <v>270</v>
      </c>
    </row>
    <row r="87" spans="1:5">
      <c r="A87" s="66" t="s">
        <v>147</v>
      </c>
      <c r="B87" s="53">
        <v>40</v>
      </c>
      <c r="C87" t="s">
        <v>154</v>
      </c>
      <c r="D87" s="99" t="s">
        <v>414</v>
      </c>
      <c r="E87" s="53" t="s">
        <v>270</v>
      </c>
    </row>
    <row r="88" spans="1:5">
      <c r="A88" s="66" t="s">
        <v>101</v>
      </c>
      <c r="B88" s="53">
        <v>25</v>
      </c>
      <c r="C88" t="s">
        <v>153</v>
      </c>
      <c r="D88" s="99" t="s">
        <v>409</v>
      </c>
      <c r="E88" s="53" t="s">
        <v>271</v>
      </c>
    </row>
    <row r="89" spans="1:5">
      <c r="A89" s="66" t="s">
        <v>253</v>
      </c>
      <c r="B89" s="53">
        <v>20</v>
      </c>
      <c r="C89" t="s">
        <v>153</v>
      </c>
      <c r="D89" s="99" t="s">
        <v>408</v>
      </c>
      <c r="E89" s="53" t="s">
        <v>266</v>
      </c>
    </row>
    <row r="90" spans="1:5">
      <c r="A90" s="65" t="s">
        <v>272</v>
      </c>
      <c r="B90" s="53">
        <v>20</v>
      </c>
      <c r="C90" t="s">
        <v>153</v>
      </c>
      <c r="D90" s="99" t="s">
        <v>408</v>
      </c>
      <c r="E90" s="53"/>
    </row>
    <row r="91" spans="1:5">
      <c r="A91" s="65" t="s">
        <v>253</v>
      </c>
      <c r="B91" s="53">
        <v>20</v>
      </c>
      <c r="C91" t="s">
        <v>153</v>
      </c>
      <c r="D91" s="99" t="s">
        <v>408</v>
      </c>
      <c r="E91" s="53"/>
    </row>
    <row r="92" spans="1:5">
      <c r="A92" s="65" t="s">
        <v>273</v>
      </c>
      <c r="B92" s="53">
        <v>20</v>
      </c>
      <c r="C92" t="s">
        <v>153</v>
      </c>
      <c r="D92" s="99" t="s">
        <v>408</v>
      </c>
      <c r="E92" s="53"/>
    </row>
    <row r="93" spans="1:5">
      <c r="A93" s="65" t="s">
        <v>274</v>
      </c>
      <c r="B93" s="53">
        <v>20</v>
      </c>
      <c r="C93" t="s">
        <v>153</v>
      </c>
      <c r="D93" s="99" t="s">
        <v>408</v>
      </c>
      <c r="E93" s="53"/>
    </row>
    <row r="94" spans="1:5">
      <c r="A94" s="66" t="s">
        <v>254</v>
      </c>
      <c r="B94" s="53">
        <v>15</v>
      </c>
      <c r="C94" t="s">
        <v>262</v>
      </c>
      <c r="D94" s="99" t="s">
        <v>409</v>
      </c>
      <c r="E94" s="53" t="s">
        <v>275</v>
      </c>
    </row>
    <row r="95" spans="1:5">
      <c r="A95" s="66" t="s">
        <v>255</v>
      </c>
      <c r="B95" s="53">
        <v>30</v>
      </c>
      <c r="C95" t="s">
        <v>261</v>
      </c>
      <c r="D95" s="99" t="s">
        <v>415</v>
      </c>
      <c r="E95" s="53" t="s">
        <v>266</v>
      </c>
    </row>
    <row r="96" spans="1:5">
      <c r="A96" s="65" t="s">
        <v>276</v>
      </c>
      <c r="B96" s="53">
        <v>30</v>
      </c>
      <c r="C96" t="s">
        <v>261</v>
      </c>
      <c r="D96" s="99" t="s">
        <v>415</v>
      </c>
      <c r="E96" s="53"/>
    </row>
    <row r="97" spans="1:5">
      <c r="A97" s="65" t="s">
        <v>277</v>
      </c>
      <c r="B97" s="53">
        <v>30</v>
      </c>
      <c r="C97" t="s">
        <v>261</v>
      </c>
      <c r="D97" s="99" t="s">
        <v>415</v>
      </c>
      <c r="E97" s="53"/>
    </row>
    <row r="98" spans="1:5">
      <c r="A98" s="65" t="s">
        <v>278</v>
      </c>
      <c r="B98" s="53">
        <v>30</v>
      </c>
      <c r="C98" t="s">
        <v>261</v>
      </c>
      <c r="D98" s="99" t="s">
        <v>415</v>
      </c>
      <c r="E98" s="53"/>
    </row>
    <row r="99" spans="1:5">
      <c r="A99" s="66" t="s">
        <v>125</v>
      </c>
      <c r="B99" s="53">
        <v>50</v>
      </c>
      <c r="C99" t="s">
        <v>155</v>
      </c>
      <c r="D99" s="99" t="s">
        <v>411</v>
      </c>
      <c r="E99" s="53" t="s">
        <v>270</v>
      </c>
    </row>
    <row r="100" spans="1:5">
      <c r="A100" s="66" t="s">
        <v>146</v>
      </c>
      <c r="B100" s="53">
        <v>20</v>
      </c>
      <c r="C100" t="s">
        <v>153</v>
      </c>
      <c r="D100" s="99" t="s">
        <v>416</v>
      </c>
      <c r="E100" s="53" t="s">
        <v>266</v>
      </c>
    </row>
    <row r="101" spans="1:5">
      <c r="A101" s="65" t="s">
        <v>146</v>
      </c>
      <c r="B101" s="53">
        <v>20</v>
      </c>
      <c r="C101" t="s">
        <v>153</v>
      </c>
      <c r="D101" s="99" t="s">
        <v>416</v>
      </c>
      <c r="E101" s="53"/>
    </row>
    <row r="102" spans="1:5">
      <c r="A102" s="65" t="s">
        <v>100</v>
      </c>
      <c r="B102" s="53">
        <v>20</v>
      </c>
      <c r="C102" t="s">
        <v>153</v>
      </c>
      <c r="D102" s="99" t="s">
        <v>416</v>
      </c>
      <c r="E102" s="53"/>
    </row>
    <row r="103" spans="1:5">
      <c r="A103" s="66" t="s">
        <v>86</v>
      </c>
      <c r="B103" s="53">
        <v>20</v>
      </c>
      <c r="C103" t="s">
        <v>153</v>
      </c>
      <c r="D103" s="99" t="s">
        <v>417</v>
      </c>
      <c r="E103" s="99" t="s">
        <v>341</v>
      </c>
    </row>
    <row r="104" spans="1:5">
      <c r="A104" s="66" t="s">
        <v>256</v>
      </c>
      <c r="B104" s="53">
        <v>15</v>
      </c>
      <c r="C104" t="s">
        <v>232</v>
      </c>
      <c r="D104" s="99" t="s">
        <v>410</v>
      </c>
      <c r="E104" s="53" t="s">
        <v>266</v>
      </c>
    </row>
    <row r="105" spans="1:5">
      <c r="A105" s="107" t="s">
        <v>344</v>
      </c>
      <c r="B105" s="53">
        <v>15</v>
      </c>
      <c r="C105" t="s">
        <v>232</v>
      </c>
      <c r="D105" s="99" t="s">
        <v>410</v>
      </c>
      <c r="E105" s="53"/>
    </row>
    <row r="106" spans="1:5">
      <c r="A106" s="107" t="s">
        <v>345</v>
      </c>
      <c r="B106" s="53">
        <v>15</v>
      </c>
      <c r="C106" t="s">
        <v>232</v>
      </c>
      <c r="D106" s="99" t="s">
        <v>410</v>
      </c>
      <c r="E106" s="53"/>
    </row>
    <row r="107" spans="1:5">
      <c r="A107" s="65" t="s">
        <v>279</v>
      </c>
      <c r="B107" s="53">
        <v>15</v>
      </c>
      <c r="C107" t="s">
        <v>232</v>
      </c>
      <c r="D107" s="99" t="s">
        <v>410</v>
      </c>
      <c r="E107" s="53"/>
    </row>
    <row r="108" spans="1:5">
      <c r="A108" s="66" t="s">
        <v>257</v>
      </c>
      <c r="B108" s="53">
        <v>22</v>
      </c>
      <c r="C108" t="s">
        <v>153</v>
      </c>
      <c r="D108" s="99" t="s">
        <v>409</v>
      </c>
      <c r="E108" s="53" t="s">
        <v>266</v>
      </c>
    </row>
    <row r="109" spans="1:5">
      <c r="A109" s="107" t="s">
        <v>346</v>
      </c>
      <c r="B109" s="53">
        <v>22</v>
      </c>
      <c r="C109" t="s">
        <v>153</v>
      </c>
      <c r="D109" s="99" t="s">
        <v>409</v>
      </c>
      <c r="E109" s="53"/>
    </row>
    <row r="110" spans="1:5">
      <c r="A110" s="107" t="s">
        <v>347</v>
      </c>
      <c r="B110" s="53">
        <v>22</v>
      </c>
      <c r="C110" t="s">
        <v>153</v>
      </c>
      <c r="D110" s="99" t="s">
        <v>409</v>
      </c>
      <c r="E110" s="53"/>
    </row>
    <row r="111" spans="1:5">
      <c r="A111" s="66" t="s">
        <v>126</v>
      </c>
      <c r="B111" s="53">
        <v>30</v>
      </c>
      <c r="C111" t="s">
        <v>260</v>
      </c>
      <c r="D111" s="99" t="s">
        <v>409</v>
      </c>
      <c r="E111" s="53" t="s">
        <v>266</v>
      </c>
    </row>
    <row r="112" spans="1:5">
      <c r="A112" s="65" t="s">
        <v>126</v>
      </c>
      <c r="B112" s="53">
        <v>30</v>
      </c>
      <c r="C112" t="s">
        <v>260</v>
      </c>
      <c r="D112" s="99" t="s">
        <v>409</v>
      </c>
      <c r="E112" s="53"/>
    </row>
    <row r="113" spans="1:5">
      <c r="A113" s="65" t="s">
        <v>119</v>
      </c>
      <c r="B113" s="53">
        <v>30</v>
      </c>
      <c r="C113" t="s">
        <v>260</v>
      </c>
      <c r="D113" s="99" t="s">
        <v>409</v>
      </c>
      <c r="E113" s="53"/>
    </row>
    <row r="114" spans="1:5">
      <c r="A114" s="66" t="s">
        <v>258</v>
      </c>
      <c r="B114" s="53">
        <v>15</v>
      </c>
      <c r="C114" t="s">
        <v>232</v>
      </c>
      <c r="D114" s="99" t="s">
        <v>416</v>
      </c>
      <c r="E114" s="53" t="s">
        <v>266</v>
      </c>
    </row>
    <row r="115" spans="1:5">
      <c r="A115" s="65" t="s">
        <v>258</v>
      </c>
      <c r="B115" s="53">
        <v>15</v>
      </c>
      <c r="C115" t="s">
        <v>232</v>
      </c>
      <c r="D115" s="99" t="s">
        <v>416</v>
      </c>
      <c r="E115" s="53"/>
    </row>
    <row r="116" spans="1:5">
      <c r="A116" s="65" t="s">
        <v>280</v>
      </c>
      <c r="B116" s="53">
        <v>15</v>
      </c>
      <c r="C116" t="s">
        <v>232</v>
      </c>
      <c r="D116" s="99" t="s">
        <v>416</v>
      </c>
      <c r="E116" s="53" t="s">
        <v>281</v>
      </c>
    </row>
    <row r="117" spans="1:5">
      <c r="A117" s="66" t="s">
        <v>128</v>
      </c>
      <c r="B117" s="53">
        <v>25</v>
      </c>
      <c r="C117" t="s">
        <v>261</v>
      </c>
      <c r="D117" s="99" t="s">
        <v>409</v>
      </c>
      <c r="E117" s="53" t="s">
        <v>270</v>
      </c>
    </row>
    <row r="118" spans="1:5">
      <c r="A118" s="66" t="s">
        <v>259</v>
      </c>
      <c r="B118" s="53">
        <v>15</v>
      </c>
      <c r="C118" t="s">
        <v>154</v>
      </c>
      <c r="D118" s="99" t="s">
        <v>412</v>
      </c>
      <c r="E118" s="53" t="s">
        <v>282</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A1:O32"/>
  <sheetViews>
    <sheetView workbookViewId="0">
      <selection activeCell="N1" sqref="N1:O6"/>
    </sheetView>
  </sheetViews>
  <sheetFormatPr defaultRowHeight="13.2"/>
  <cols>
    <col min="1" max="1" width="15" customWidth="1"/>
    <col min="5" max="5" width="9.88671875" bestFit="1" customWidth="1"/>
    <col min="7" max="7" width="16.44140625" bestFit="1" customWidth="1"/>
  </cols>
  <sheetData>
    <row r="1" spans="1:15">
      <c r="A1" s="5" t="s">
        <v>24</v>
      </c>
      <c r="B1" s="16" t="s">
        <v>25</v>
      </c>
      <c r="C1" s="5" t="s">
        <v>67</v>
      </c>
      <c r="D1" s="11" t="s">
        <v>54</v>
      </c>
      <c r="E1" s="5" t="s">
        <v>68</v>
      </c>
      <c r="F1" s="11" t="s">
        <v>33</v>
      </c>
      <c r="G1" s="15" t="s">
        <v>114</v>
      </c>
      <c r="H1" s="17" t="s">
        <v>130</v>
      </c>
      <c r="I1" s="17" t="s">
        <v>104</v>
      </c>
      <c r="J1" s="17" t="s">
        <v>106</v>
      </c>
      <c r="K1" s="17" t="s">
        <v>105</v>
      </c>
      <c r="L1" s="17" t="s">
        <v>131</v>
      </c>
      <c r="M1" s="54" t="s">
        <v>132</v>
      </c>
      <c r="N1" s="109" t="s">
        <v>359</v>
      </c>
    </row>
    <row r="2" spans="1:15">
      <c r="A2" s="1">
        <v>0</v>
      </c>
      <c r="B2" s="7">
        <v>-1</v>
      </c>
      <c r="C2" s="1">
        <v>0</v>
      </c>
      <c r="D2" s="2">
        <v>0</v>
      </c>
      <c r="E2" s="1">
        <v>0</v>
      </c>
      <c r="F2" s="2">
        <v>0</v>
      </c>
      <c r="G2" s="1" t="s">
        <v>115</v>
      </c>
      <c r="H2" s="7">
        <v>15</v>
      </c>
      <c r="I2" s="7">
        <v>8</v>
      </c>
      <c r="J2" s="7">
        <v>-2</v>
      </c>
      <c r="K2" s="7">
        <v>-12</v>
      </c>
      <c r="L2" s="7" t="s">
        <v>112</v>
      </c>
      <c r="M2" s="2">
        <v>24</v>
      </c>
      <c r="N2" s="75" t="s">
        <v>356</v>
      </c>
      <c r="O2" s="75" t="s">
        <v>362</v>
      </c>
    </row>
    <row r="3" spans="1:15">
      <c r="A3" s="1">
        <v>6</v>
      </c>
      <c r="B3" s="7">
        <v>0</v>
      </c>
      <c r="C3" s="1">
        <v>40</v>
      </c>
      <c r="D3" s="2">
        <v>1</v>
      </c>
      <c r="E3" s="1">
        <v>20</v>
      </c>
      <c r="F3" s="2">
        <v>1</v>
      </c>
      <c r="G3" s="1" t="s">
        <v>116</v>
      </c>
      <c r="H3" s="7">
        <v>10</v>
      </c>
      <c r="I3" s="7">
        <v>-1</v>
      </c>
      <c r="J3" s="7">
        <v>-13</v>
      </c>
      <c r="K3" s="7">
        <v>-20</v>
      </c>
      <c r="L3" s="7" t="s">
        <v>133</v>
      </c>
      <c r="M3" s="2">
        <f>4+ROUNDDOWN(TempSB/2,0)</f>
        <v>4</v>
      </c>
      <c r="N3" s="75" t="s">
        <v>357</v>
      </c>
      <c r="O3" s="75" t="s">
        <v>364</v>
      </c>
    </row>
    <row r="4" spans="1:15">
      <c r="A4" s="1">
        <v>16</v>
      </c>
      <c r="B4" s="7">
        <v>1</v>
      </c>
      <c r="C4" s="1">
        <v>100</v>
      </c>
      <c r="D4" s="2">
        <v>2</v>
      </c>
      <c r="E4" s="1">
        <v>40</v>
      </c>
      <c r="F4" s="2">
        <v>2</v>
      </c>
      <c r="G4" s="1" t="s">
        <v>117</v>
      </c>
      <c r="H4" s="7">
        <v>11</v>
      </c>
      <c r="I4" s="7">
        <v>4</v>
      </c>
      <c r="J4" s="7">
        <v>-6</v>
      </c>
      <c r="K4" s="7">
        <v>-18</v>
      </c>
      <c r="L4" s="7" t="s">
        <v>112</v>
      </c>
      <c r="M4" s="2">
        <v>20</v>
      </c>
      <c r="N4" s="75" t="s">
        <v>358</v>
      </c>
      <c r="O4" s="75" t="s">
        <v>363</v>
      </c>
    </row>
    <row r="5" spans="1:15">
      <c r="A5" s="1">
        <v>31</v>
      </c>
      <c r="B5" s="7">
        <v>2</v>
      </c>
      <c r="C5" s="1">
        <v>250</v>
      </c>
      <c r="D5" s="2">
        <v>3</v>
      </c>
      <c r="E5" s="1">
        <v>80</v>
      </c>
      <c r="F5" s="2">
        <v>3</v>
      </c>
      <c r="G5" s="1" t="s">
        <v>118</v>
      </c>
      <c r="H5" s="7">
        <v>14</v>
      </c>
      <c r="I5" s="7">
        <v>7</v>
      </c>
      <c r="J5" s="7">
        <v>-3</v>
      </c>
      <c r="K5" s="7">
        <v>-14</v>
      </c>
      <c r="L5" s="7" t="s">
        <v>112</v>
      </c>
      <c r="M5" s="2">
        <v>25</v>
      </c>
      <c r="N5" s="75" t="s">
        <v>360</v>
      </c>
      <c r="O5" s="75" t="s">
        <v>365</v>
      </c>
    </row>
    <row r="6" spans="1:15">
      <c r="A6" s="1">
        <v>51</v>
      </c>
      <c r="B6" s="7">
        <v>3</v>
      </c>
      <c r="C6" s="1">
        <v>450</v>
      </c>
      <c r="D6" s="2">
        <v>4</v>
      </c>
      <c r="E6" s="1">
        <v>150</v>
      </c>
      <c r="F6" s="2">
        <v>4</v>
      </c>
      <c r="G6" s="1" t="s">
        <v>119</v>
      </c>
      <c r="H6" s="7">
        <v>3</v>
      </c>
      <c r="I6" s="7">
        <v>9</v>
      </c>
      <c r="J6" s="7">
        <v>-4</v>
      </c>
      <c r="K6" s="7">
        <v>-17</v>
      </c>
      <c r="L6" s="7" t="s">
        <v>112</v>
      </c>
      <c r="M6" s="2">
        <f>18+ROUNDDOWN(TempSB/2,0)</f>
        <v>18</v>
      </c>
      <c r="N6" s="75" t="s">
        <v>361</v>
      </c>
      <c r="O6" s="75" t="s">
        <v>366</v>
      </c>
    </row>
    <row r="7" spans="1:15">
      <c r="A7" s="1">
        <v>76</v>
      </c>
      <c r="B7" s="7">
        <v>4</v>
      </c>
      <c r="C7" s="1">
        <v>750</v>
      </c>
      <c r="D7" s="2">
        <v>5</v>
      </c>
      <c r="E7" s="1">
        <v>300</v>
      </c>
      <c r="F7" s="2">
        <v>5</v>
      </c>
      <c r="G7" s="1" t="s">
        <v>120</v>
      </c>
      <c r="H7" s="7">
        <v>12</v>
      </c>
      <c r="I7" s="7">
        <v>6</v>
      </c>
      <c r="J7" s="7">
        <v>-3</v>
      </c>
      <c r="K7" s="7">
        <v>-16</v>
      </c>
      <c r="L7" s="7" t="s">
        <v>112</v>
      </c>
      <c r="M7" s="2">
        <v>20</v>
      </c>
    </row>
    <row r="8" spans="1:15">
      <c r="A8" s="1">
        <v>106</v>
      </c>
      <c r="B8" s="7">
        <v>5</v>
      </c>
      <c r="C8" s="1">
        <v>1200</v>
      </c>
      <c r="D8" s="2">
        <v>6</v>
      </c>
      <c r="E8" s="1">
        <v>600</v>
      </c>
      <c r="F8" s="2">
        <v>6</v>
      </c>
      <c r="G8" s="1" t="s">
        <v>121</v>
      </c>
      <c r="H8" s="7">
        <v>6</v>
      </c>
      <c r="I8" s="7">
        <v>0</v>
      </c>
      <c r="J8" s="7">
        <v>-9</v>
      </c>
      <c r="K8" s="7">
        <v>-20</v>
      </c>
      <c r="L8" s="7" t="s">
        <v>133</v>
      </c>
      <c r="M8" s="2">
        <f>6+TempSB</f>
        <v>5</v>
      </c>
    </row>
    <row r="9" spans="1:15">
      <c r="A9" s="1">
        <v>141</v>
      </c>
      <c r="B9" s="7">
        <v>6</v>
      </c>
      <c r="C9" s="1">
        <v>2000</v>
      </c>
      <c r="D9" s="2">
        <v>7</v>
      </c>
      <c r="E9" s="1">
        <v>1200</v>
      </c>
      <c r="F9" s="2">
        <v>7</v>
      </c>
      <c r="G9" s="1" t="s">
        <v>122</v>
      </c>
      <c r="H9" s="7">
        <v>9</v>
      </c>
      <c r="I9" s="7">
        <v>5</v>
      </c>
      <c r="J9" s="7">
        <v>-6</v>
      </c>
      <c r="K9" s="7">
        <v>-20</v>
      </c>
      <c r="L9" s="7" t="s">
        <v>112</v>
      </c>
      <c r="M9" s="2">
        <v>18</v>
      </c>
    </row>
    <row r="10" spans="1:15">
      <c r="A10" s="1">
        <v>181</v>
      </c>
      <c r="B10" s="7">
        <v>7</v>
      </c>
      <c r="C10" s="1">
        <v>3000</v>
      </c>
      <c r="D10" s="2">
        <v>8</v>
      </c>
      <c r="E10" s="1">
        <v>2400</v>
      </c>
      <c r="F10" s="2">
        <v>8</v>
      </c>
      <c r="G10" s="1" t="s">
        <v>101</v>
      </c>
      <c r="H10" s="7">
        <v>8</v>
      </c>
      <c r="I10" s="7">
        <v>-2</v>
      </c>
      <c r="J10" s="7">
        <v>-10</v>
      </c>
      <c r="K10" s="7">
        <v>-20</v>
      </c>
      <c r="L10" s="7" t="s">
        <v>133</v>
      </c>
      <c r="M10" s="2">
        <f>3+ROUNDDOWN(TempSB/2,0)</f>
        <v>3</v>
      </c>
    </row>
    <row r="11" spans="1:15">
      <c r="A11" s="1">
        <v>226</v>
      </c>
      <c r="B11" s="7">
        <v>8</v>
      </c>
      <c r="C11" s="1">
        <v>4200</v>
      </c>
      <c r="D11" s="2">
        <v>9</v>
      </c>
      <c r="E11" s="1">
        <v>4000</v>
      </c>
      <c r="F11" s="2">
        <v>9</v>
      </c>
      <c r="G11" s="1" t="s">
        <v>102</v>
      </c>
      <c r="H11" s="7">
        <v>12</v>
      </c>
      <c r="I11" s="7">
        <v>8</v>
      </c>
      <c r="J11" s="7">
        <v>0</v>
      </c>
      <c r="K11" s="7">
        <v>-10</v>
      </c>
      <c r="L11" s="7" t="s">
        <v>112</v>
      </c>
      <c r="M11" s="2">
        <v>30</v>
      </c>
    </row>
    <row r="12" spans="1:15">
      <c r="A12" s="1">
        <v>276</v>
      </c>
      <c r="B12" s="7">
        <v>9</v>
      </c>
      <c r="C12" s="1">
        <v>5500</v>
      </c>
      <c r="D12" s="2">
        <v>10</v>
      </c>
      <c r="E12" s="1">
        <v>6000</v>
      </c>
      <c r="F12" s="2">
        <v>10</v>
      </c>
      <c r="G12" s="1" t="s">
        <v>123</v>
      </c>
      <c r="H12" s="7">
        <v>5</v>
      </c>
      <c r="I12" s="7">
        <v>-3</v>
      </c>
      <c r="J12" s="7">
        <v>-15</v>
      </c>
      <c r="K12" s="7">
        <v>-20</v>
      </c>
      <c r="L12" s="7" t="s">
        <v>133</v>
      </c>
      <c r="M12" s="2">
        <f>4+ROUNDDOWN(TempSB/2,0)</f>
        <v>4</v>
      </c>
    </row>
    <row r="13" spans="1:15">
      <c r="A13" s="1">
        <v>331</v>
      </c>
      <c r="B13" s="7">
        <v>10</v>
      </c>
      <c r="C13" s="1">
        <v>7000</v>
      </c>
      <c r="D13" s="2">
        <v>11</v>
      </c>
      <c r="E13" s="1">
        <v>9000</v>
      </c>
      <c r="F13" s="2">
        <v>11</v>
      </c>
      <c r="G13" s="1" t="s">
        <v>124</v>
      </c>
      <c r="H13" s="7">
        <v>4</v>
      </c>
      <c r="I13" s="7">
        <v>-4</v>
      </c>
      <c r="J13" s="7">
        <v>-14</v>
      </c>
      <c r="K13" s="7">
        <v>-20</v>
      </c>
      <c r="L13" s="7" t="s">
        <v>133</v>
      </c>
      <c r="M13" s="2">
        <f>4+TempSB</f>
        <v>3</v>
      </c>
    </row>
    <row r="14" spans="1:15">
      <c r="A14" s="1">
        <v>396</v>
      </c>
      <c r="B14" s="7">
        <v>11</v>
      </c>
      <c r="C14" s="1">
        <v>9000</v>
      </c>
      <c r="D14" s="2">
        <v>12</v>
      </c>
      <c r="E14" s="1">
        <v>13000</v>
      </c>
      <c r="F14" s="2">
        <v>12</v>
      </c>
      <c r="G14" s="1" t="s">
        <v>125</v>
      </c>
      <c r="H14" s="7">
        <v>7</v>
      </c>
      <c r="I14" s="7">
        <v>1</v>
      </c>
      <c r="J14" s="7">
        <v>-8</v>
      </c>
      <c r="K14" s="7">
        <v>-18</v>
      </c>
      <c r="L14" s="7" t="s">
        <v>133</v>
      </c>
      <c r="M14" s="2">
        <v>16</v>
      </c>
    </row>
    <row r="15" spans="1:15">
      <c r="A15" s="1">
        <v>466</v>
      </c>
      <c r="B15" s="7">
        <v>12</v>
      </c>
      <c r="C15" s="1">
        <v>12000</v>
      </c>
      <c r="D15" s="2">
        <v>13</v>
      </c>
      <c r="E15" s="1">
        <v>18000</v>
      </c>
      <c r="F15" s="2">
        <v>13</v>
      </c>
      <c r="G15" s="1" t="s">
        <v>126</v>
      </c>
      <c r="H15" s="7">
        <v>4</v>
      </c>
      <c r="I15" s="7">
        <v>6</v>
      </c>
      <c r="J15" s="7">
        <v>-6</v>
      </c>
      <c r="K15" s="7">
        <v>-19</v>
      </c>
      <c r="L15" s="7" t="s">
        <v>112</v>
      </c>
      <c r="M15" s="2">
        <f>12+ROUNDDOWN(TempSB/2,0)</f>
        <v>12</v>
      </c>
    </row>
    <row r="16" spans="1:15">
      <c r="A16" s="3">
        <v>551</v>
      </c>
      <c r="B16" s="9">
        <v>13</v>
      </c>
      <c r="C16" s="1">
        <v>16000</v>
      </c>
      <c r="D16" s="2">
        <v>14</v>
      </c>
      <c r="E16" s="1">
        <v>24000</v>
      </c>
      <c r="F16" s="2">
        <v>14</v>
      </c>
      <c r="G16" s="1" t="s">
        <v>127</v>
      </c>
      <c r="H16" s="7">
        <v>5</v>
      </c>
      <c r="I16" s="7">
        <v>-1</v>
      </c>
      <c r="J16" s="7">
        <v>-7</v>
      </c>
      <c r="K16" s="7">
        <v>-16</v>
      </c>
      <c r="L16" s="7" t="s">
        <v>133</v>
      </c>
      <c r="M16" s="2">
        <f>8+TempSB</f>
        <v>7</v>
      </c>
    </row>
    <row r="17" spans="1:13">
      <c r="A17" s="1" t="s">
        <v>82</v>
      </c>
      <c r="B17" s="7"/>
      <c r="C17" s="1">
        <v>22000</v>
      </c>
      <c r="D17" s="2">
        <v>15</v>
      </c>
      <c r="E17" s="1">
        <v>32000</v>
      </c>
      <c r="F17" s="2">
        <v>15</v>
      </c>
      <c r="G17" s="1" t="s">
        <v>128</v>
      </c>
      <c r="H17" s="7">
        <v>6</v>
      </c>
      <c r="I17" s="7">
        <v>-2</v>
      </c>
      <c r="J17" s="7">
        <v>-10</v>
      </c>
      <c r="K17" s="7">
        <v>-20</v>
      </c>
      <c r="L17" s="7" t="s">
        <v>133</v>
      </c>
      <c r="M17" s="2">
        <f>5+TempSB</f>
        <v>4</v>
      </c>
    </row>
    <row r="18" spans="1:13">
      <c r="A18" s="1" t="s">
        <v>74</v>
      </c>
      <c r="B18" s="22">
        <v>46</v>
      </c>
      <c r="C18" s="7">
        <v>30000</v>
      </c>
      <c r="D18" s="2">
        <v>16</v>
      </c>
      <c r="E18" s="1">
        <v>42000</v>
      </c>
      <c r="F18" s="2">
        <v>16</v>
      </c>
      <c r="G18" s="3" t="s">
        <v>129</v>
      </c>
      <c r="H18" s="9">
        <v>8</v>
      </c>
      <c r="I18" s="9">
        <v>0</v>
      </c>
      <c r="J18" s="9">
        <v>-12</v>
      </c>
      <c r="K18" s="9">
        <v>-20</v>
      </c>
      <c r="L18" s="9" t="s">
        <v>133</v>
      </c>
      <c r="M18" s="4">
        <f>5+ROUNDDOWN(TempSB/2,0)</f>
        <v>5</v>
      </c>
    </row>
    <row r="19" spans="1:13">
      <c r="A19" s="1" t="s">
        <v>75</v>
      </c>
      <c r="B19" s="22">
        <v>42</v>
      </c>
      <c r="C19" s="1">
        <v>40000</v>
      </c>
      <c r="D19" s="2">
        <v>17</v>
      </c>
      <c r="E19" s="1">
        <v>54000</v>
      </c>
      <c r="F19" s="2">
        <v>17</v>
      </c>
    </row>
    <row r="20" spans="1:13">
      <c r="A20" s="1" t="s">
        <v>76</v>
      </c>
      <c r="B20" s="22">
        <v>45</v>
      </c>
      <c r="C20" s="1">
        <v>52000</v>
      </c>
      <c r="D20" s="2">
        <v>18</v>
      </c>
      <c r="E20" s="1">
        <v>68000</v>
      </c>
      <c r="F20" s="2">
        <v>18</v>
      </c>
    </row>
    <row r="21" spans="1:13">
      <c r="A21" s="1" t="s">
        <v>77</v>
      </c>
      <c r="B21" s="22">
        <v>42</v>
      </c>
      <c r="C21" s="1">
        <v>66000</v>
      </c>
      <c r="D21" s="2">
        <v>19</v>
      </c>
      <c r="E21" s="1">
        <v>84000</v>
      </c>
      <c r="F21" s="2">
        <v>19</v>
      </c>
    </row>
    <row r="22" spans="1:13">
      <c r="A22" s="1" t="s">
        <v>78</v>
      </c>
      <c r="B22" s="22">
        <v>28</v>
      </c>
      <c r="C22" s="1">
        <v>82000</v>
      </c>
      <c r="D22" s="2">
        <v>20</v>
      </c>
      <c r="E22" s="1">
        <v>100000</v>
      </c>
      <c r="F22" s="2">
        <v>20</v>
      </c>
    </row>
    <row r="23" spans="1:13">
      <c r="A23" s="1" t="s">
        <v>79</v>
      </c>
      <c r="B23" s="22">
        <v>28</v>
      </c>
      <c r="C23" s="1">
        <v>102000</v>
      </c>
      <c r="D23" s="2">
        <v>21</v>
      </c>
      <c r="E23" s="1">
        <v>116000</v>
      </c>
      <c r="F23" s="2">
        <v>21</v>
      </c>
    </row>
    <row r="24" spans="1:13">
      <c r="A24" s="1" t="s">
        <v>80</v>
      </c>
      <c r="B24" s="22">
        <v>35</v>
      </c>
      <c r="C24" s="1">
        <v>122000</v>
      </c>
      <c r="D24" s="2">
        <v>22</v>
      </c>
      <c r="E24" s="1">
        <v>132000</v>
      </c>
      <c r="F24" s="2">
        <v>22</v>
      </c>
    </row>
    <row r="25" spans="1:13">
      <c r="A25" s="3" t="s">
        <v>81</v>
      </c>
      <c r="B25" s="23">
        <v>32</v>
      </c>
      <c r="C25" s="1">
        <v>142000</v>
      </c>
      <c r="D25" s="2">
        <v>23</v>
      </c>
      <c r="E25" s="1">
        <v>148000</v>
      </c>
      <c r="F25" s="2">
        <v>23</v>
      </c>
    </row>
    <row r="26" spans="1:13">
      <c r="A26" s="15" t="s">
        <v>83</v>
      </c>
      <c r="B26" s="11"/>
      <c r="C26" s="1">
        <v>162000</v>
      </c>
      <c r="D26" s="2">
        <v>24</v>
      </c>
      <c r="E26" s="1">
        <v>164000</v>
      </c>
      <c r="F26" s="2">
        <v>24</v>
      </c>
    </row>
    <row r="27" spans="1:13">
      <c r="A27" s="14" t="s">
        <v>17</v>
      </c>
      <c r="B27" s="2">
        <v>9</v>
      </c>
      <c r="C27" s="1">
        <v>182000</v>
      </c>
      <c r="D27" s="2">
        <v>25</v>
      </c>
      <c r="E27" s="1">
        <v>180000</v>
      </c>
      <c r="F27" s="2">
        <v>25</v>
      </c>
    </row>
    <row r="28" spans="1:13">
      <c r="A28" s="14" t="s">
        <v>71</v>
      </c>
      <c r="B28" s="2">
        <v>10</v>
      </c>
      <c r="C28" s="1">
        <v>202000</v>
      </c>
      <c r="D28" s="2">
        <v>26</v>
      </c>
      <c r="E28" s="1">
        <v>196000</v>
      </c>
      <c r="F28" s="2">
        <v>26</v>
      </c>
    </row>
    <row r="29" spans="1:13">
      <c r="A29" s="14" t="s">
        <v>72</v>
      </c>
      <c r="B29" s="2">
        <v>6</v>
      </c>
      <c r="C29" s="1">
        <v>222000</v>
      </c>
      <c r="D29" s="2">
        <v>27</v>
      </c>
      <c r="E29" s="1">
        <v>212000</v>
      </c>
      <c r="F29" s="2">
        <v>27</v>
      </c>
    </row>
    <row r="30" spans="1:13">
      <c r="A30" s="18" t="s">
        <v>73</v>
      </c>
      <c r="B30" s="4">
        <v>8</v>
      </c>
      <c r="C30" s="1">
        <v>242000</v>
      </c>
      <c r="D30" s="2">
        <v>28</v>
      </c>
      <c r="E30" s="1">
        <v>228000</v>
      </c>
      <c r="F30" s="2">
        <v>28</v>
      </c>
    </row>
    <row r="31" spans="1:13">
      <c r="C31" s="1">
        <v>262000</v>
      </c>
      <c r="D31" s="2">
        <v>29</v>
      </c>
      <c r="E31" s="1">
        <v>244000</v>
      </c>
      <c r="F31" s="2">
        <v>29</v>
      </c>
    </row>
    <row r="32" spans="1:13">
      <c r="C32" s="3">
        <v>282000</v>
      </c>
      <c r="D32" s="4">
        <v>30</v>
      </c>
      <c r="E32" s="3">
        <v>260000</v>
      </c>
      <c r="F32" s="4">
        <v>30</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39</vt:i4>
      </vt:variant>
    </vt:vector>
  </HeadingPairs>
  <TitlesOfParts>
    <vt:vector size="42" baseType="lpstr">
      <vt:lpstr>Character Record</vt:lpstr>
      <vt:lpstr>Skills</vt:lpstr>
      <vt:lpstr>Set Values</vt:lpstr>
      <vt:lpstr>AB</vt:lpstr>
      <vt:lpstr>Appearance</vt:lpstr>
      <vt:lpstr>CB</vt:lpstr>
      <vt:lpstr>CEL</vt:lpstr>
      <vt:lpstr>CombatSkills</vt:lpstr>
      <vt:lpstr>Constitution</vt:lpstr>
      <vt:lpstr>CSkills</vt:lpstr>
      <vt:lpstr>CurAgility</vt:lpstr>
      <vt:lpstr>CurDexterity</vt:lpstr>
      <vt:lpstr>CurEloquence</vt:lpstr>
      <vt:lpstr>CurEmpathy</vt:lpstr>
      <vt:lpstr>CurIntelligence</vt:lpstr>
      <vt:lpstr>CurStamina</vt:lpstr>
      <vt:lpstr>CurStrength</vt:lpstr>
      <vt:lpstr>CurWill</vt:lpstr>
      <vt:lpstr>DB</vt:lpstr>
      <vt:lpstr>EffectiveAgility</vt:lpstr>
      <vt:lpstr>EffectiveAppearance</vt:lpstr>
      <vt:lpstr>EffectiveConstitution</vt:lpstr>
      <vt:lpstr>EffectiveDexterity</vt:lpstr>
      <vt:lpstr>EffectiveEloquence</vt:lpstr>
      <vt:lpstr>EffectiveEmpathy</vt:lpstr>
      <vt:lpstr>EffectiveIntelligence</vt:lpstr>
      <vt:lpstr>EffectiveStamina</vt:lpstr>
      <vt:lpstr>EffectiveStrength</vt:lpstr>
      <vt:lpstr>EffectiveWill</vt:lpstr>
      <vt:lpstr>KnowledgeSkills</vt:lpstr>
      <vt:lpstr>MaxMagicEL</vt:lpstr>
      <vt:lpstr>MEL</vt:lpstr>
      <vt:lpstr>NSkills</vt:lpstr>
      <vt:lpstr>Race</vt:lpstr>
      <vt:lpstr>RangedWeapons</vt:lpstr>
      <vt:lpstr>SB</vt:lpstr>
      <vt:lpstr>StB</vt:lpstr>
      <vt:lpstr>TempAB</vt:lpstr>
      <vt:lpstr>TempCB</vt:lpstr>
      <vt:lpstr>TempDB</vt:lpstr>
      <vt:lpstr>TempSB</vt:lpstr>
      <vt:lpstr>TempStB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A Tallant</dc:creator>
  <cp:lastModifiedBy>Bryan</cp:lastModifiedBy>
  <dcterms:created xsi:type="dcterms:W3CDTF">2007-08-11T07:33:17Z</dcterms:created>
  <dcterms:modified xsi:type="dcterms:W3CDTF">2012-12-03T22:52:06Z</dcterms:modified>
</cp:coreProperties>
</file>